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3.xml" ContentType="application/vnd.openxmlformats-officedocument.spreadsheetml.comments+xml"/>
  <Default Extension="gif" ContentType="image/gif"/>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charts/chart13.xml" ContentType="application/vnd.openxmlformats-officedocument.drawingml.char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8" yWindow="96" windowWidth="8808" windowHeight="4428" tabRatio="920" firstSheet="32" activeTab="43"/>
  </bookViews>
  <sheets>
    <sheet name="目次-" sheetId="88" r:id="rId1"/>
    <sheet name="隔頁-(業務計畫及預算說明)" sheetId="5" r:id="rId2"/>
    <sheet name="10.圖1" sheetId="12" r:id="rId3"/>
    <sheet name="11.圖2" sheetId="13" r:id="rId4"/>
    <sheet name="12.圖3" sheetId="55" r:id="rId5"/>
    <sheet name="13.圖4" sheetId="14" r:id="rId6"/>
    <sheet name="14.圖5" sheetId="1" r:id="rId7"/>
    <sheet name="隔頁 (主要表)" sheetId="16" r:id="rId8"/>
    <sheet name="15.收支預計表" sheetId="17" r:id="rId9"/>
    <sheet name="16.收支預計表說明 " sheetId="18" r:id="rId10"/>
    <sheet name="17.撥補表" sheetId="19" r:id="rId11"/>
    <sheet name="18.現金流量表 " sheetId="20" r:id="rId12"/>
    <sheet name="隔頁 ('明細表)" sheetId="21" r:id="rId13"/>
    <sheet name="19.勞務收入明細" sheetId="22" r:id="rId14"/>
    <sheet name="20.其他業務收入" sheetId="84" r:id="rId15"/>
    <sheet name="21.財務收入明細 利息" sheetId="24" r:id="rId16"/>
    <sheet name="22.其他業務外收入明細" sheetId="83" r:id="rId17"/>
    <sheet name="23.勞務成本明細6級" sheetId="26" r:id="rId18"/>
    <sheet name="21-22.勞務成本明細7級" sheetId="86" r:id="rId19"/>
    <sheet name="26.其他業務成本明細 (6級)" sheetId="29" r:id="rId20"/>
    <sheet name="23.其他業務成本明細7級(X)" sheetId="53" state="hidden" r:id="rId21"/>
    <sheet name="28.其他業務外費用明細6級" sheetId="32" r:id="rId22"/>
    <sheet name="24.其他業務外費用明細7級(X) " sheetId="33" state="hidden" r:id="rId23"/>
    <sheet name="30.固定資產建改擴明細表" sheetId="35" r:id="rId24"/>
    <sheet name="31.固定資產資金來源明細表" sheetId="36" r:id="rId25"/>
    <sheet name="32-33.固定資產計畫進度明細表" sheetId="37" r:id="rId26"/>
    <sheet name="34.資產折舊明細表" sheetId="38" r:id="rId27"/>
    <sheet name="30.資產折舊明細表 (2)" sheetId="59" state="hidden" r:id="rId28"/>
    <sheet name="35.基金數額增減明細表" sheetId="39" r:id="rId29"/>
    <sheet name="31.基金數額增減明細表 (2)" sheetId="60" state="hidden" r:id="rId30"/>
    <sheet name="36.隔頁 (空白30)" sheetId="72" r:id="rId31"/>
    <sheet name="32.隔頁 (空白32)" sheetId="8" state="hidden" r:id="rId32"/>
    <sheet name="隔頁 (參考表)" sheetId="40" r:id="rId33"/>
    <sheet name="33.隔頁 (空白33)" sheetId="64" state="hidden" r:id="rId34"/>
    <sheet name="34-35.預計平衡表 (2)" sheetId="62" state="hidden" r:id="rId35"/>
    <sheet name="37.預計平衡表" sheetId="66" r:id="rId36"/>
    <sheet name="36.預計平衡表 (4級)" sheetId="87" state="hidden" r:id="rId37"/>
    <sheet name="38.營運項目分析表" sheetId="46" r:id="rId38"/>
    <sheet name="36.營運項目分析表 (2)" sheetId="63" state="hidden" r:id="rId39"/>
    <sheet name="39.員工人數彙計表(1)" sheetId="76" r:id="rId40"/>
    <sheet name="37.員工人數彙計表(2)" sheetId="80" state="hidden" r:id="rId41"/>
    <sheet name="40-41.用人費用彙計表" sheetId="77" r:id="rId42"/>
    <sheet name="38-39.用人費用彙計表(2)" sheetId="81" state="hidden" r:id="rId43"/>
    <sheet name="42.各項費用彙計表(6級)" sheetId="67" r:id="rId44"/>
    <sheet name="40-41.各項費用彙計表(7級) " sheetId="47" r:id="rId45"/>
    <sheet name="43.隔頁 (空白43)" sheetId="74" state="hidden" r:id="rId46"/>
    <sheet name="附錄" sheetId="11" r:id="rId47"/>
    <sheet name="44.隔頁 (空白))" sheetId="89" r:id="rId48"/>
    <sheet name="100設備分年性項目明細表(X)" sheetId="68" state="hidden" r:id="rId49"/>
    <sheet name=".100設備分年性項目明細表(X)" sheetId="49" state="hidden" r:id="rId50"/>
    <sheet name="封底 " sheetId="50" state="hidden" r:id="rId51"/>
    <sheet name="明細表" sheetId="52" state="hidden" r:id="rId52"/>
    <sheet name="Sheet1" sheetId="82" state="hidden" r:id="rId53"/>
  </sheets>
  <externalReferences>
    <externalReference r:id="rId54"/>
    <externalReference r:id="rId55"/>
    <externalReference r:id="rId56"/>
    <externalReference r:id="rId57"/>
  </externalReferences>
  <definedNames>
    <definedName name="\0" localSheetId="14">#REF!</definedName>
    <definedName name="\0" localSheetId="18">#REF!</definedName>
    <definedName name="\0" localSheetId="16">#REF!</definedName>
    <definedName name="\0" localSheetId="36">#REF!</definedName>
    <definedName name="\0" localSheetId="47">#REF!</definedName>
    <definedName name="\0">#REF!</definedName>
    <definedName name="\a" localSheetId="14">#REF!</definedName>
    <definedName name="\a" localSheetId="16">#REF!</definedName>
    <definedName name="\a" localSheetId="36">#REF!</definedName>
    <definedName name="\a" localSheetId="47">#REF!</definedName>
    <definedName name="\a">#REF!</definedName>
    <definedName name="\p" localSheetId="14">#REF!</definedName>
    <definedName name="\p" localSheetId="16">#REF!</definedName>
    <definedName name="\p" localSheetId="36">#REF!</definedName>
    <definedName name="\p" localSheetId="47">#REF!</definedName>
    <definedName name="\p">#REF!</definedName>
    <definedName name="__123Graph_D" localSheetId="14" hidden="1">[1]勞務成本!#REF!</definedName>
    <definedName name="__123Graph_D" localSheetId="18" hidden="1">[1]勞務成本!#REF!</definedName>
    <definedName name="__123Graph_D" localSheetId="16" hidden="1">[1]勞務成本!#REF!</definedName>
    <definedName name="__123Graph_D" localSheetId="36" hidden="1">[1]勞務成本!#REF!</definedName>
    <definedName name="__123Graph_D" localSheetId="47" hidden="1">[1]勞務成本!#REF!</definedName>
    <definedName name="__123Graph_D" localSheetId="0" hidden="1">[1]勞務成本!#REF!</definedName>
    <definedName name="__123Graph_D" hidden="1">[1]勞務成本!#REF!</definedName>
    <definedName name="_xlnm._FilterDatabase" localSheetId="44" hidden="1">'40-41.各項費用彙計表(7級) '!$A$7:$K$97</definedName>
    <definedName name="_PPRA15.U49_AG" localSheetId="14">#REF!</definedName>
    <definedName name="_PPRA15.U49_AG" localSheetId="18">#REF!</definedName>
    <definedName name="_PPRA15.U49_AG" localSheetId="16">#REF!</definedName>
    <definedName name="_PPRA15.U49_AG" localSheetId="36">#REF!</definedName>
    <definedName name="_PPRA15.U49_AG" localSheetId="47">#REF!</definedName>
    <definedName name="_PPRA15.U49_AG">#REF!</definedName>
    <definedName name="A_G_A1">#N/A</definedName>
    <definedName name="AA">#N/A</definedName>
    <definedName name="aaa" localSheetId="14">[2]間接費用!#REF!</definedName>
    <definedName name="aaa" localSheetId="18">[2]間接費用!#REF!</definedName>
    <definedName name="aaa" localSheetId="16">[2]間接費用!#REF!</definedName>
    <definedName name="aaa" localSheetId="36">[2]間接費用!#REF!</definedName>
    <definedName name="aaa" localSheetId="47">[2]間接費用!#REF!</definedName>
    <definedName name="aaa" localSheetId="0">[2]間接費用!#REF!</definedName>
    <definedName name="aaa">[2]間接費用!#REF!</definedName>
    <definedName name="bbb" localSheetId="14">[2]間接費用!#REF!</definedName>
    <definedName name="bbb" localSheetId="18">[2]間接費用!#REF!</definedName>
    <definedName name="bbb" localSheetId="16">[2]間接費用!#REF!</definedName>
    <definedName name="bbb" localSheetId="36">[2]間接費用!#REF!</definedName>
    <definedName name="bbb" localSheetId="47">[2]間接費用!#REF!</definedName>
    <definedName name="bbb" localSheetId="0">[2]間接費用!#REF!</definedName>
    <definedName name="bbb">[2]間接費用!#REF!</definedName>
    <definedName name="MANAGE">#N/A</definedName>
    <definedName name="OLE_LINK1" localSheetId="29">'31.基金數額增減明細表 (2)'!#REF!</definedName>
    <definedName name="OLE_LINK1" localSheetId="28">'35.基金數額增減明細表'!#REF!</definedName>
    <definedName name="OLE_LINK2" localSheetId="29">'31.基金數額增減明細表 (2)'!#REF!</definedName>
    <definedName name="OLE_LINK2" localSheetId="28">'35.基金數額增減明細表'!#REF!</definedName>
    <definedName name="_xlnm.Print_Area" localSheetId="2">'10.圖1'!$B$1:$E$41</definedName>
    <definedName name="_xlnm.Print_Area" localSheetId="3">'11.圖2'!$B$1:$E$44</definedName>
    <definedName name="_xlnm.Print_Area" localSheetId="4">'12.圖3'!$A$1:$F$45</definedName>
    <definedName name="_xlnm.Print_Area" localSheetId="5">'13.圖4'!$B$1:$E$40</definedName>
    <definedName name="_xlnm.Print_Area" localSheetId="6">'14.圖5'!$A$1:$F$43</definedName>
    <definedName name="_xlnm.Print_Area" localSheetId="8">'15.收支預計表'!$A$1:$I$37</definedName>
    <definedName name="_xlnm.Print_Area" localSheetId="10">'17.撥補表'!$A$1:$G$35</definedName>
    <definedName name="_xlnm.Print_Area" localSheetId="11">'18.現金流量表 '!$A$1:$C$42</definedName>
    <definedName name="_xlnm.Print_Area" localSheetId="13">'19.勞務收入明細'!$A$1:$G$29</definedName>
    <definedName name="_xlnm.Print_Area" localSheetId="14">'20.其他業務收入'!$A$1:$D$29</definedName>
    <definedName name="_xlnm.Print_Area" localSheetId="15">'21.財務收入明細 利息'!$A$1:$D$29</definedName>
    <definedName name="_xlnm.Print_Area" localSheetId="18">'21-22.勞務成本明細7級'!$A$1:$E$93</definedName>
    <definedName name="_xlnm.Print_Area" localSheetId="16">'22.其他業務外收入明細'!$A$1:$D$28</definedName>
    <definedName name="_xlnm.Print_Area" localSheetId="20">'23.其他業務成本明細7級(X)'!$A$1:$E$75</definedName>
    <definedName name="_xlnm.Print_Area" localSheetId="22">'24.其他業務外費用明細7級(X) '!$A$1:$E$69</definedName>
    <definedName name="_xlnm.Print_Area" localSheetId="19">'26.其他業務成本明細 (6級)'!$A$1:$E$33</definedName>
    <definedName name="_xlnm.Print_Area" localSheetId="21">'28.其他業務外費用明細6級'!$A$1:$E$34</definedName>
    <definedName name="_xlnm.Print_Area" localSheetId="25">'32-33.固定資產計畫進度明細表'!$A$1:$Q$29</definedName>
    <definedName name="_xlnm.Print_Area" localSheetId="34">'34-35.預計平衡表 (2)'!$A$1:$J$37</definedName>
    <definedName name="_xlnm.Print_Area" localSheetId="36">'36.預計平衡表 (4級)'!$A$1:$E$72</definedName>
    <definedName name="_xlnm.Print_Area" localSheetId="35">'37.預計平衡表'!$A$1:$E$61</definedName>
    <definedName name="_xlnm.Print_Area" localSheetId="44">'40-41.各項費用彙計表(7級) '!$B$1:$I$97</definedName>
    <definedName name="_xlnm.Print_Area" localSheetId="43">'42.各項費用彙計表(6級)'!$A$1:$H$44</definedName>
    <definedName name="_xlnm.Print_Area" localSheetId="0">#REF!</definedName>
    <definedName name="_xlnm.Print_Area">#REF!</definedName>
    <definedName name="PRINT_AREA_MI" localSheetId="14">#REF!</definedName>
    <definedName name="PRINT_AREA_MI" localSheetId="16">#REF!</definedName>
    <definedName name="PRINT_AREA_MI" localSheetId="36">#REF!</definedName>
    <definedName name="PRINT_AREA_MI" localSheetId="47">#REF!</definedName>
    <definedName name="PRINT_AREA_MI">#REF!</definedName>
    <definedName name="_xlnm.Print_Titles" localSheetId="2">'10.圖1'!$4:$7</definedName>
    <definedName name="_xlnm.Print_Titles" localSheetId="18">'21-22.勞務成本明細7級'!$1:$7</definedName>
    <definedName name="_xlnm.Print_Titles" localSheetId="20">'23.其他業務成本明細7級(X)'!$1:$7</definedName>
    <definedName name="_xlnm.Print_Titles" localSheetId="17">'23.勞務成本明細6級'!$1:$7</definedName>
    <definedName name="_xlnm.Print_Titles" localSheetId="22">'24.其他業務外費用明細7級(X) '!$1:$7</definedName>
    <definedName name="_xlnm.Print_Titles" localSheetId="19">'26.其他業務成本明細 (6級)'!$1:$7</definedName>
    <definedName name="_xlnm.Print_Titles" localSheetId="21">'28.其他業務外費用明細6級'!$1:$7</definedName>
    <definedName name="_xlnm.Print_Titles" localSheetId="34">'34-35.預計平衡表 (2)'!$1:$6</definedName>
    <definedName name="_xlnm.Print_Titles" localSheetId="36">'36.預計平衡表 (4級)'!$1:$6</definedName>
    <definedName name="_xlnm.Print_Titles" localSheetId="38">'36.營運項目分析表 (2)'!$1:$6</definedName>
    <definedName name="_xlnm.Print_Titles" localSheetId="35">'37.預計平衡表'!$1:$6</definedName>
    <definedName name="_xlnm.Print_Titles" localSheetId="37">'38.營運項目分析表'!$1:$6</definedName>
    <definedName name="_xlnm.Print_Titles" localSheetId="44">'40-41.各項費用彙計表(7級) '!$1:$7</definedName>
    <definedName name="_xlnm.Print_Titles" localSheetId="43">'42.各項費用彙計表(6級)'!$1:$7</definedName>
    <definedName name="qwe" localSheetId="14">#REF!</definedName>
    <definedName name="qwe" localSheetId="18">#REF!</definedName>
    <definedName name="qwe" localSheetId="16">#REF!</definedName>
    <definedName name="qwe" localSheetId="36">#REF!</definedName>
    <definedName name="qwe" localSheetId="47">#REF!</definedName>
    <definedName name="qwe">#REF!</definedName>
    <definedName name="RA119.U152_AG" localSheetId="14">#REF!</definedName>
    <definedName name="RA119.U152_AG" localSheetId="16">#REF!</definedName>
    <definedName name="RA119.U152_AG" localSheetId="36">#REF!</definedName>
    <definedName name="RA119.U152_AG" localSheetId="47">#REF!</definedName>
    <definedName name="RA119.U152_AG">#REF!</definedName>
    <definedName name="RA153.U186_AG" localSheetId="14">#REF!</definedName>
    <definedName name="RA153.U186_AG" localSheetId="16">#REF!</definedName>
    <definedName name="RA153.U186_AG" localSheetId="36">#REF!</definedName>
    <definedName name="RA153.U186_AG" localSheetId="47">#REF!</definedName>
    <definedName name="RA153.U186_AG">#REF!</definedName>
    <definedName name="RA50.U84_AG" localSheetId="14">#REF!</definedName>
    <definedName name="RA50.U84_AG" localSheetId="16">#REF!</definedName>
    <definedName name="RA50.U84_AG" localSheetId="36">#REF!</definedName>
    <definedName name="RA50.U84_AG" localSheetId="47">#REF!</definedName>
    <definedName name="RA50.U84_AG">#REF!</definedName>
    <definedName name="RA85.U118_AG" localSheetId="14">#REF!</definedName>
    <definedName name="RA85.U118_AG" localSheetId="16">#REF!</definedName>
    <definedName name="RA85.U118_AG" localSheetId="36">#REF!</definedName>
    <definedName name="RA85.U118_AG" localSheetId="47">#REF!</definedName>
    <definedName name="RA85.U118_AG">#REF!</definedName>
    <definedName name="zxc" localSheetId="14">#REF!</definedName>
    <definedName name="zxc" localSheetId="16">#REF!</definedName>
    <definedName name="zxc" localSheetId="36">#REF!</definedName>
    <definedName name="zxc" localSheetId="47">#REF!</definedName>
    <definedName name="zxc">#REF!</definedName>
    <definedName name="人供">#N/A</definedName>
    <definedName name="平衡表.可支庫款" localSheetId="14">#REF!</definedName>
    <definedName name="平衡表.可支庫款" localSheetId="18">#REF!</definedName>
    <definedName name="平衡表.可支庫款" localSheetId="16">#REF!</definedName>
    <definedName name="平衡表.可支庫款" localSheetId="36">#REF!</definedName>
    <definedName name="平衡表.可支庫款" localSheetId="47">#REF!</definedName>
    <definedName name="平衡表.可支庫款">#REF!</definedName>
    <definedName name="平衡表.所屬機關可支庫款" localSheetId="14">#REF!</definedName>
    <definedName name="平衡表.所屬機關可支庫款" localSheetId="16">#REF!</definedName>
    <definedName name="平衡表.所屬機關可支庫款" localSheetId="36">#REF!</definedName>
    <definedName name="平衡表.所屬機關可支庫款" localSheetId="47">#REF!</definedName>
    <definedName name="平衡表.所屬機關可支庫款">#REF!</definedName>
    <definedName name="平衡表.負擔負債科目合計" localSheetId="14">#REF!</definedName>
    <definedName name="平衡表.負擔負債科目合計" localSheetId="16">#REF!</definedName>
    <definedName name="平衡表.負擔負債科目合計" localSheetId="36">#REF!</definedName>
    <definedName name="平衡表.負擔負債科目合計" localSheetId="47">#REF!</definedName>
    <definedName name="平衡表.負擔負債科目合計">#REF!</definedName>
    <definedName name="平衡表.歲出分配數" localSheetId="14">#REF!</definedName>
    <definedName name="平衡表.歲出分配數" localSheetId="16">#REF!</definedName>
    <definedName name="平衡表.歲出分配數" localSheetId="36">#REF!</definedName>
    <definedName name="平衡表.歲出分配數" localSheetId="47">#REF!</definedName>
    <definedName name="平衡表.歲出分配數">#REF!</definedName>
    <definedName name="平衡表.歲出預算數" localSheetId="14">#REF!</definedName>
    <definedName name="平衡表.歲出預算數" localSheetId="16">#REF!</definedName>
    <definedName name="平衡表.歲出預算數" localSheetId="36">#REF!</definedName>
    <definedName name="平衡表.歲出預算數" localSheetId="47">#REF!</definedName>
    <definedName name="平衡表.歲出預算數">#REF!</definedName>
    <definedName name="平衡表.經費支出" localSheetId="14">#REF!</definedName>
    <definedName name="平衡表.經費支出" localSheetId="16">#REF!</definedName>
    <definedName name="平衡表.經費支出" localSheetId="36">#REF!</definedName>
    <definedName name="平衡表.經費支出" localSheetId="47">#REF!</definedName>
    <definedName name="平衡表.經費支出">#REF!</definedName>
    <definedName name="平衡表.資力資產科目合計" localSheetId="14">#REF!</definedName>
    <definedName name="平衡表.資力資產科目合計" localSheetId="16">#REF!</definedName>
    <definedName name="平衡表.資力資產科目合計" localSheetId="36">#REF!</definedName>
    <definedName name="平衡表.資力資產科目合計" localSheetId="47">#REF!</definedName>
    <definedName name="平衡表.資力資產科目合計">#REF!</definedName>
    <definedName name="平衡表.預計支用數" localSheetId="14">#REF!</definedName>
    <definedName name="平衡表.預計支用數" localSheetId="16">#REF!</definedName>
    <definedName name="平衡表.預計支用數" localSheetId="36">#REF!</definedName>
    <definedName name="平衡表.預計支用數" localSheetId="47">#REF!</definedName>
    <definedName name="平衡表.預計支用數">#REF!</definedName>
    <definedName name="累計表.本月止分配數合計" localSheetId="14">[3]經費累計表!#REF!</definedName>
    <definedName name="累計表.本月止分配數合計" localSheetId="16">[3]經費累計表!#REF!</definedName>
    <definedName name="累計表.本月止分配數合計" localSheetId="36">[3]經費累計表!#REF!</definedName>
    <definedName name="累計表.本月止分配數合計" localSheetId="47">[3]經費累計表!#REF!</definedName>
    <definedName name="累計表.本月止分配數合計">[3]經費累計表!#REF!</definedName>
    <definedName name="累計表.本月止實付累計數合計" localSheetId="14">[3]經費累計表!#REF!</definedName>
    <definedName name="累計表.本月止實付累計數合計" localSheetId="16">[3]經費累計表!#REF!</definedName>
    <definedName name="累計表.本月止實付累計數合計" localSheetId="36">[3]經費累計表!#REF!</definedName>
    <definedName name="累計表.本月止實付累計數合計" localSheetId="47">[3]經費累計表!#REF!</definedName>
    <definedName name="累計表.本月止實付累計數合計">[3]經費累計表!#REF!</definedName>
    <definedName name="累計表.全年度預算數合計" localSheetId="14">[3]經費累計表!#REF!</definedName>
    <definedName name="累計表.全年度預算數合計" localSheetId="16">[3]經費累計表!#REF!</definedName>
    <definedName name="累計表.全年度預算數合計" localSheetId="36">[3]經費累計表!#REF!</definedName>
    <definedName name="累計表.全年度預算數合計" localSheetId="47">[3]經費累計表!#REF!</definedName>
    <definedName name="累計表.全年度預算數合計">[3]經費累計表!#REF!</definedName>
    <definedName name="勞務成本1" localSheetId="14">#REF!</definedName>
    <definedName name="勞務成本1" localSheetId="18">#REF!</definedName>
    <definedName name="勞務成本1" localSheetId="16">#REF!</definedName>
    <definedName name="勞務成本1" localSheetId="36">#REF!</definedName>
    <definedName name="勞務成本1" localSheetId="47">#REF!</definedName>
    <definedName name="勞務成本1">#REF!</definedName>
    <definedName name="經費類" localSheetId="14">#REF!</definedName>
    <definedName name="經費類" localSheetId="16">#REF!</definedName>
    <definedName name="經費類" localSheetId="36">#REF!</definedName>
    <definedName name="經費類" localSheetId="47">#REF!</definedName>
    <definedName name="經費類">#REF!</definedName>
    <definedName name="資產表" localSheetId="14">#REF!</definedName>
    <definedName name="資產表" localSheetId="16">#REF!</definedName>
    <definedName name="資產表" localSheetId="36">#REF!</definedName>
    <definedName name="資產表" localSheetId="47">#REF!</definedName>
    <definedName name="資產表">#REF!</definedName>
    <definedName name="管總費用" localSheetId="14">#REF!</definedName>
    <definedName name="管總費用" localSheetId="16">#REF!</definedName>
    <definedName name="管總費用" localSheetId="36">#REF!</definedName>
    <definedName name="管總費用" localSheetId="47">#REF!</definedName>
    <definedName name="管總費用">#REF!</definedName>
  </definedNames>
  <calcPr calcId="125725"/>
</workbook>
</file>

<file path=xl/calcChain.xml><?xml version="1.0" encoding="utf-8"?>
<calcChain xmlns="http://schemas.openxmlformats.org/spreadsheetml/2006/main">
  <c r="E38" i="12"/>
  <c r="E41"/>
  <c r="D44" i="55"/>
  <c r="C44"/>
  <c r="E39" i="13"/>
  <c r="E42"/>
  <c r="C42"/>
  <c r="C39"/>
  <c r="C38" i="12"/>
  <c r="I30" i="26"/>
  <c r="B20" i="17"/>
  <c r="B97" i="47"/>
  <c r="C10" i="66" l="1"/>
  <c r="E27" i="86"/>
  <c r="D16" i="17"/>
  <c r="D10" i="66"/>
  <c r="F8" i="38"/>
  <c r="E8"/>
  <c r="D8"/>
  <c r="E8" i="33"/>
  <c r="B40"/>
  <c r="B37"/>
  <c r="A14" i="29"/>
  <c r="A21" i="53"/>
  <c r="G42" i="86"/>
  <c r="H42"/>
  <c r="J42" s="1"/>
  <c r="A9" l="1"/>
  <c r="A78"/>
  <c r="A61"/>
  <c r="A39"/>
  <c r="A34"/>
  <c r="A18"/>
  <c r="A14"/>
  <c r="A10"/>
  <c r="B74"/>
  <c r="A74"/>
  <c r="B24" i="20" l="1"/>
  <c r="D42" i="66"/>
  <c r="D9" l="1"/>
  <c r="D58"/>
  <c r="L23" i="26"/>
  <c r="L10"/>
  <c r="L9"/>
  <c r="E44" i="66"/>
  <c r="E16"/>
  <c r="E15"/>
  <c r="E14"/>
  <c r="E13"/>
  <c r="E12"/>
  <c r="A9"/>
  <c r="B30" i="20"/>
  <c r="A8" i="67"/>
  <c r="B13" i="47"/>
  <c r="B14"/>
  <c r="D11" i="66" l="1"/>
  <c r="C11"/>
  <c r="E11" s="1"/>
  <c r="A10"/>
  <c r="A11"/>
  <c r="A8" s="1"/>
  <c r="H28" i="67"/>
  <c r="G28"/>
  <c r="C28"/>
  <c r="C72" i="47"/>
  <c r="B72"/>
  <c r="A72"/>
  <c r="I72"/>
  <c r="H72"/>
  <c r="A73"/>
  <c r="B73"/>
  <c r="C73"/>
  <c r="I73"/>
  <c r="H73"/>
  <c r="G26" i="17"/>
  <c r="H26"/>
  <c r="E26"/>
  <c r="B33"/>
  <c r="G33"/>
  <c r="E33"/>
  <c r="H33"/>
  <c r="D49" i="66"/>
  <c r="D48"/>
  <c r="A47"/>
  <c r="D41"/>
  <c r="D8"/>
  <c r="D44"/>
  <c r="C40"/>
  <c r="C43"/>
  <c r="D43"/>
  <c r="D40"/>
  <c r="D31"/>
  <c r="D29" s="1"/>
  <c r="D39" l="1"/>
  <c r="C31"/>
  <c r="E80" i="86"/>
  <c r="G79" i="47" s="1"/>
  <c r="E79" s="1"/>
  <c r="K79" s="1"/>
  <c r="E79" i="86"/>
  <c r="E77"/>
  <c r="E76"/>
  <c r="E75"/>
  <c r="E50"/>
  <c r="E47"/>
  <c r="E44"/>
  <c r="E42"/>
  <c r="E41"/>
  <c r="E32"/>
  <c r="E30"/>
  <c r="E29"/>
  <c r="E28"/>
  <c r="E25"/>
  <c r="E17"/>
  <c r="E13"/>
  <c r="E12"/>
  <c r="E11"/>
  <c r="H34" i="47"/>
  <c r="B34"/>
  <c r="B33" s="1"/>
  <c r="B22"/>
  <c r="B77"/>
  <c r="B54"/>
  <c r="B38"/>
  <c r="B25"/>
  <c r="B17"/>
  <c r="B9"/>
  <c r="J30" i="17"/>
  <c r="J25"/>
  <c r="J26"/>
  <c r="J24"/>
  <c r="J22"/>
  <c r="J16"/>
  <c r="J13"/>
  <c r="J12"/>
  <c r="J10"/>
  <c r="C41" i="66"/>
  <c r="A39"/>
  <c r="E74" i="86" l="1"/>
  <c r="J79" i="47"/>
  <c r="E78" i="86"/>
  <c r="A29" i="66"/>
  <c r="C30"/>
  <c r="C29" s="1"/>
  <c r="C27"/>
  <c r="C21"/>
  <c r="E27"/>
  <c r="E21"/>
  <c r="E73" i="86" l="1"/>
  <c r="E33" i="66"/>
  <c r="C24" l="1"/>
  <c r="D19"/>
  <c r="A19"/>
  <c r="A22"/>
  <c r="E42" i="67"/>
  <c r="E35"/>
  <c r="H89" i="47" l="1"/>
  <c r="H95"/>
  <c r="D69" i="87" l="1"/>
  <c r="D68" s="1"/>
  <c r="D67" s="1"/>
  <c r="C69"/>
  <c r="C68" s="1"/>
  <c r="C67" s="1"/>
  <c r="A68"/>
  <c r="A67" s="1"/>
  <c r="D64"/>
  <c r="D63" s="1"/>
  <c r="C64"/>
  <c r="C63" s="1"/>
  <c r="A64"/>
  <c r="A63" s="1"/>
  <c r="D61"/>
  <c r="E61" s="1"/>
  <c r="E60" s="1"/>
  <c r="E59" s="1"/>
  <c r="C60"/>
  <c r="C59" s="1"/>
  <c r="A60"/>
  <c r="A59" s="1"/>
  <c r="D53"/>
  <c r="E53" s="1"/>
  <c r="D52"/>
  <c r="E52" s="1"/>
  <c r="C51"/>
  <c r="C50" s="1"/>
  <c r="A50"/>
  <c r="D48"/>
  <c r="D47" s="1"/>
  <c r="C47"/>
  <c r="A47"/>
  <c r="D46"/>
  <c r="E46" s="1"/>
  <c r="E45"/>
  <c r="D44"/>
  <c r="E44" s="1"/>
  <c r="D43"/>
  <c r="E43" s="1"/>
  <c r="D42"/>
  <c r="E42" s="1"/>
  <c r="C41"/>
  <c r="A41"/>
  <c r="A40" s="1"/>
  <c r="A39" s="1"/>
  <c r="D36"/>
  <c r="E36" s="1"/>
  <c r="E35" s="1"/>
  <c r="E34" s="1"/>
  <c r="C35"/>
  <c r="C34" s="1"/>
  <c r="A35"/>
  <c r="A34"/>
  <c r="D32"/>
  <c r="D31" s="1"/>
  <c r="D30" s="1"/>
  <c r="C32"/>
  <c r="A31"/>
  <c r="A30" s="1"/>
  <c r="E28"/>
  <c r="E27" s="1"/>
  <c r="D27"/>
  <c r="C27"/>
  <c r="A27"/>
  <c r="D26"/>
  <c r="E26" s="1"/>
  <c r="D25"/>
  <c r="E25" s="1"/>
  <c r="E24" s="1"/>
  <c r="C24"/>
  <c r="A24"/>
  <c r="C23"/>
  <c r="E23" s="1"/>
  <c r="A23"/>
  <c r="D22"/>
  <c r="D21"/>
  <c r="A21"/>
  <c r="D20"/>
  <c r="E20" s="1"/>
  <c r="A20"/>
  <c r="D19"/>
  <c r="A18"/>
  <c r="D15"/>
  <c r="E15" s="1"/>
  <c r="E14" s="1"/>
  <c r="D14"/>
  <c r="C14"/>
  <c r="A14"/>
  <c r="D13"/>
  <c r="E13" s="1"/>
  <c r="D12"/>
  <c r="E12" s="1"/>
  <c r="E11" s="1"/>
  <c r="C11"/>
  <c r="A11"/>
  <c r="D10"/>
  <c r="D9" s="1"/>
  <c r="C10"/>
  <c r="E10" s="1"/>
  <c r="E9" s="1"/>
  <c r="E8" s="1"/>
  <c r="C9"/>
  <c r="C8" s="1"/>
  <c r="A9"/>
  <c r="C40" l="1"/>
  <c r="E48"/>
  <c r="E47" s="1"/>
  <c r="C58"/>
  <c r="A58"/>
  <c r="A8"/>
  <c r="A17"/>
  <c r="E32"/>
  <c r="E31" s="1"/>
  <c r="E30" s="1"/>
  <c r="D41"/>
  <c r="D40" s="1"/>
  <c r="E41"/>
  <c r="E40" s="1"/>
  <c r="E39" s="1"/>
  <c r="E51"/>
  <c r="E50" s="1"/>
  <c r="A71"/>
  <c r="C39"/>
  <c r="C71" s="1"/>
  <c r="E58"/>
  <c r="D11"/>
  <c r="D8" s="1"/>
  <c r="D18"/>
  <c r="D24"/>
  <c r="C31"/>
  <c r="C30" s="1"/>
  <c r="D35"/>
  <c r="D34" s="1"/>
  <c r="D51"/>
  <c r="D50" s="1"/>
  <c r="D39" s="1"/>
  <c r="D60"/>
  <c r="D59" s="1"/>
  <c r="D58" s="1"/>
  <c r="E69"/>
  <c r="E68" s="1"/>
  <c r="E67" s="1"/>
  <c r="D71" l="1"/>
  <c r="A7"/>
  <c r="A37" s="1"/>
  <c r="E71"/>
  <c r="D17"/>
  <c r="D7" s="1"/>
  <c r="D37" s="1"/>
  <c r="E91" i="86" l="1"/>
  <c r="D34" i="67"/>
  <c r="B8" i="47" l="1"/>
  <c r="B38" i="20"/>
  <c r="D53" i="66"/>
  <c r="E53" s="1"/>
  <c r="D34"/>
  <c r="A38"/>
  <c r="A26" i="32" l="1"/>
  <c r="A25" s="1"/>
  <c r="D8" i="22"/>
  <c r="E10" i="38"/>
  <c r="I29" i="26" l="1"/>
  <c r="I9" s="1"/>
  <c r="C95" i="47"/>
  <c r="C61" l="1"/>
  <c r="C30"/>
  <c r="G95"/>
  <c r="I87"/>
  <c r="I83"/>
  <c r="G90" l="1"/>
  <c r="G87"/>
  <c r="G85"/>
  <c r="G84"/>
  <c r="G78"/>
  <c r="G77" s="1"/>
  <c r="G76"/>
  <c r="G75"/>
  <c r="G74"/>
  <c r="G49"/>
  <c r="G41"/>
  <c r="E41" s="1"/>
  <c r="G43"/>
  <c r="G46"/>
  <c r="G47"/>
  <c r="G40"/>
  <c r="G31"/>
  <c r="G27"/>
  <c r="G28"/>
  <c r="G29"/>
  <c r="G24"/>
  <c r="J41" l="1"/>
  <c r="K41"/>
  <c r="F41"/>
  <c r="G73"/>
  <c r="F16" i="38"/>
  <c r="F15" i="59"/>
  <c r="E16" i="38"/>
  <c r="E15" i="59"/>
  <c r="D16" i="38"/>
  <c r="D15" i="59"/>
  <c r="G83" i="47"/>
  <c r="E87"/>
  <c r="G86"/>
  <c r="G16"/>
  <c r="G11"/>
  <c r="G12"/>
  <c r="G10"/>
  <c r="B90" i="86"/>
  <c r="B89" s="1"/>
  <c r="A90"/>
  <c r="A89" s="1"/>
  <c r="A87"/>
  <c r="B84"/>
  <c r="G84" s="1"/>
  <c r="A84"/>
  <c r="A81" s="1"/>
  <c r="B82"/>
  <c r="A82"/>
  <c r="B78"/>
  <c r="B73" s="1"/>
  <c r="A73"/>
  <c r="G74"/>
  <c r="B71"/>
  <c r="A71"/>
  <c r="B69"/>
  <c r="A69"/>
  <c r="B66"/>
  <c r="A66"/>
  <c r="I66" s="1"/>
  <c r="I65" s="1"/>
  <c r="B64"/>
  <c r="H64" s="1"/>
  <c r="H63" s="1"/>
  <c r="A64"/>
  <c r="I64" s="1"/>
  <c r="I63" s="1"/>
  <c r="B62"/>
  <c r="A62"/>
  <c r="B55"/>
  <c r="A55"/>
  <c r="I55" s="1"/>
  <c r="B52"/>
  <c r="A52"/>
  <c r="I52" s="1"/>
  <c r="B50"/>
  <c r="B49" s="1"/>
  <c r="A49"/>
  <c r="B39"/>
  <c r="B34"/>
  <c r="B31"/>
  <c r="A31"/>
  <c r="B26"/>
  <c r="A26"/>
  <c r="B22"/>
  <c r="A22"/>
  <c r="B18"/>
  <c r="B14"/>
  <c r="B10"/>
  <c r="E90"/>
  <c r="E89" s="1"/>
  <c r="E84"/>
  <c r="G82" s="1"/>
  <c r="K83"/>
  <c r="K82" s="1"/>
  <c r="G83"/>
  <c r="F83"/>
  <c r="F82"/>
  <c r="E82"/>
  <c r="K79"/>
  <c r="K78" s="1"/>
  <c r="F79"/>
  <c r="G78"/>
  <c r="F78"/>
  <c r="M77"/>
  <c r="I77"/>
  <c r="H77"/>
  <c r="G77"/>
  <c r="G76"/>
  <c r="M76"/>
  <c r="L76"/>
  <c r="I76"/>
  <c r="H76"/>
  <c r="G75"/>
  <c r="M75"/>
  <c r="L75"/>
  <c r="I75"/>
  <c r="H75"/>
  <c r="H74" s="1"/>
  <c r="K74"/>
  <c r="M73"/>
  <c r="K72"/>
  <c r="K71" s="1"/>
  <c r="F72"/>
  <c r="F71" s="1"/>
  <c r="I70"/>
  <c r="I69" s="1"/>
  <c r="H70"/>
  <c r="K69"/>
  <c r="F69"/>
  <c r="I68"/>
  <c r="H68"/>
  <c r="H67" s="1"/>
  <c r="K67"/>
  <c r="F67"/>
  <c r="F60" s="1"/>
  <c r="H66"/>
  <c r="H65" s="1"/>
  <c r="G66"/>
  <c r="K65"/>
  <c r="K63"/>
  <c r="H62"/>
  <c r="H61" s="1"/>
  <c r="G62"/>
  <c r="E62"/>
  <c r="I62"/>
  <c r="I61" s="1"/>
  <c r="K61"/>
  <c r="I59"/>
  <c r="H59"/>
  <c r="I58"/>
  <c r="H58"/>
  <c r="L57"/>
  <c r="I57"/>
  <c r="H57"/>
  <c r="I56"/>
  <c r="H56"/>
  <c r="L55"/>
  <c r="K54"/>
  <c r="F54"/>
  <c r="F50" s="1"/>
  <c r="I53"/>
  <c r="H53"/>
  <c r="H52"/>
  <c r="K51"/>
  <c r="E49"/>
  <c r="G48" s="1"/>
  <c r="I49"/>
  <c r="I48" s="1"/>
  <c r="K48"/>
  <c r="I47"/>
  <c r="H47"/>
  <c r="G47"/>
  <c r="K46"/>
  <c r="I46"/>
  <c r="H46"/>
  <c r="G46"/>
  <c r="K45"/>
  <c r="I45"/>
  <c r="H45"/>
  <c r="I44"/>
  <c r="H44"/>
  <c r="K43"/>
  <c r="I43"/>
  <c r="H43"/>
  <c r="I42"/>
  <c r="I41"/>
  <c r="H41"/>
  <c r="G41"/>
  <c r="I40"/>
  <c r="H40"/>
  <c r="F39"/>
  <c r="I38"/>
  <c r="H38"/>
  <c r="L37"/>
  <c r="K37"/>
  <c r="K34" s="1"/>
  <c r="I37"/>
  <c r="I36"/>
  <c r="H36"/>
  <c r="I35"/>
  <c r="H35"/>
  <c r="F34"/>
  <c r="I33"/>
  <c r="H33"/>
  <c r="I32"/>
  <c r="H32"/>
  <c r="G32"/>
  <c r="K31"/>
  <c r="I30"/>
  <c r="H30"/>
  <c r="G30"/>
  <c r="L29"/>
  <c r="I29"/>
  <c r="H29"/>
  <c r="G29"/>
  <c r="K28"/>
  <c r="K26" s="1"/>
  <c r="I28"/>
  <c r="H28"/>
  <c r="G28"/>
  <c r="I27"/>
  <c r="H27"/>
  <c r="I25"/>
  <c r="H25"/>
  <c r="G25"/>
  <c r="I24"/>
  <c r="H24"/>
  <c r="I23"/>
  <c r="K22"/>
  <c r="F22"/>
  <c r="I21"/>
  <c r="H21"/>
  <c r="I20"/>
  <c r="H20"/>
  <c r="I19"/>
  <c r="H19"/>
  <c r="K18"/>
  <c r="F18"/>
  <c r="I17"/>
  <c r="H17"/>
  <c r="G17"/>
  <c r="I16"/>
  <c r="H16"/>
  <c r="I15"/>
  <c r="H15"/>
  <c r="K14"/>
  <c r="F14"/>
  <c r="I13"/>
  <c r="H13"/>
  <c r="G13"/>
  <c r="L12"/>
  <c r="I12"/>
  <c r="H12"/>
  <c r="G12"/>
  <c r="L11"/>
  <c r="I11"/>
  <c r="H11"/>
  <c r="G11"/>
  <c r="K10"/>
  <c r="F10"/>
  <c r="E10"/>
  <c r="F9"/>
  <c r="H4"/>
  <c r="I81" l="1"/>
  <c r="I79" s="1"/>
  <c r="I78" s="1"/>
  <c r="A8"/>
  <c r="B81"/>
  <c r="G81" s="1"/>
  <c r="H84"/>
  <c r="G10"/>
  <c r="I10"/>
  <c r="K50"/>
  <c r="G49"/>
  <c r="H49"/>
  <c r="H48" s="1"/>
  <c r="I84"/>
  <c r="I83" s="1"/>
  <c r="I82" s="1"/>
  <c r="B51"/>
  <c r="B61"/>
  <c r="F28" i="67"/>
  <c r="F30" i="26" s="1"/>
  <c r="G72" i="47"/>
  <c r="F87"/>
  <c r="J87"/>
  <c r="K87"/>
  <c r="F8" i="86"/>
  <c r="J15"/>
  <c r="J19"/>
  <c r="J44"/>
  <c r="J53"/>
  <c r="E81"/>
  <c r="G79" s="1"/>
  <c r="H73"/>
  <c r="I51"/>
  <c r="K60"/>
  <c r="B9"/>
  <c r="J13"/>
  <c r="J28"/>
  <c r="J32"/>
  <c r="J68"/>
  <c r="J67" s="1"/>
  <c r="H14"/>
  <c r="I14"/>
  <c r="H26"/>
  <c r="K39"/>
  <c r="K9" s="1"/>
  <c r="G61"/>
  <c r="I73"/>
  <c r="I72" s="1"/>
  <c r="J76"/>
  <c r="J70"/>
  <c r="J69" s="1"/>
  <c r="J56"/>
  <c r="I54"/>
  <c r="I50" s="1"/>
  <c r="J58"/>
  <c r="A51"/>
  <c r="J45"/>
  <c r="J43"/>
  <c r="I39"/>
  <c r="J40"/>
  <c r="J36"/>
  <c r="I34"/>
  <c r="I31"/>
  <c r="J30"/>
  <c r="J27"/>
  <c r="J25"/>
  <c r="I22"/>
  <c r="J24"/>
  <c r="J21"/>
  <c r="J17"/>
  <c r="J16"/>
  <c r="J12"/>
  <c r="J11"/>
  <c r="G72"/>
  <c r="J20"/>
  <c r="J35"/>
  <c r="J41"/>
  <c r="J46"/>
  <c r="J47"/>
  <c r="J59"/>
  <c r="J77"/>
  <c r="I18"/>
  <c r="J29"/>
  <c r="J33"/>
  <c r="J31" s="1"/>
  <c r="J38"/>
  <c r="H39"/>
  <c r="J57"/>
  <c r="J75"/>
  <c r="J74" s="1"/>
  <c r="H83"/>
  <c r="H82" s="1"/>
  <c r="J62"/>
  <c r="J61" s="1"/>
  <c r="J64"/>
  <c r="J63" s="1"/>
  <c r="J66"/>
  <c r="J65" s="1"/>
  <c r="H51"/>
  <c r="J52"/>
  <c r="H81"/>
  <c r="H10"/>
  <c r="H18"/>
  <c r="H31"/>
  <c r="H55"/>
  <c r="I67"/>
  <c r="I60" s="1"/>
  <c r="H69"/>
  <c r="H60" s="1"/>
  <c r="I74"/>
  <c r="I71" s="1"/>
  <c r="H23"/>
  <c r="I26"/>
  <c r="H37"/>
  <c r="J51" l="1"/>
  <c r="J18"/>
  <c r="J10"/>
  <c r="G73"/>
  <c r="J84"/>
  <c r="J83" s="1"/>
  <c r="J82" s="1"/>
  <c r="K8"/>
  <c r="K93" s="1"/>
  <c r="L45" s="1"/>
  <c r="J49"/>
  <c r="J48" s="1"/>
  <c r="A93"/>
  <c r="J39"/>
  <c r="I9"/>
  <c r="I8" s="1"/>
  <c r="I93" s="1"/>
  <c r="J26"/>
  <c r="J14"/>
  <c r="H72"/>
  <c r="H71" s="1"/>
  <c r="J73"/>
  <c r="J72" s="1"/>
  <c r="J71" s="1"/>
  <c r="B8"/>
  <c r="B93" s="1"/>
  <c r="J37"/>
  <c r="J34" s="1"/>
  <c r="H34"/>
  <c r="J60"/>
  <c r="J55"/>
  <c r="J54" s="1"/>
  <c r="J50" s="1"/>
  <c r="H54"/>
  <c r="H50" s="1"/>
  <c r="J23"/>
  <c r="J22" s="1"/>
  <c r="H22"/>
  <c r="J81"/>
  <c r="J79" s="1"/>
  <c r="J78" s="1"/>
  <c r="H79"/>
  <c r="H78" s="1"/>
  <c r="F25" i="52"/>
  <c r="F24"/>
  <c r="E14" i="53"/>
  <c r="A11" i="17"/>
  <c r="E41" i="13"/>
  <c r="E38"/>
  <c r="C41"/>
  <c r="C38"/>
  <c r="C8" i="84"/>
  <c r="C55" i="66"/>
  <c r="D55"/>
  <c r="D54" s="1"/>
  <c r="D18" i="62"/>
  <c r="C18"/>
  <c r="D21" i="63"/>
  <c r="J36" i="62"/>
  <c r="I35"/>
  <c r="I34" s="1"/>
  <c r="J34" s="1"/>
  <c r="H34"/>
  <c r="H35"/>
  <c r="F35"/>
  <c r="F34"/>
  <c r="C54" i="66" l="1"/>
  <c r="E55"/>
  <c r="E54" s="1"/>
  <c r="C44" i="13"/>
  <c r="H9" i="86"/>
  <c r="H8" s="1"/>
  <c r="H93" s="1"/>
  <c r="J9"/>
  <c r="J8" s="1"/>
  <c r="J93" s="1"/>
  <c r="J35" i="62"/>
  <c r="B36" i="20"/>
  <c r="G41" i="67"/>
  <c r="G40" s="1"/>
  <c r="G39"/>
  <c r="G37"/>
  <c r="G36" s="1"/>
  <c r="G33"/>
  <c r="F41"/>
  <c r="F40" s="1"/>
  <c r="D18" i="46"/>
  <c r="D21"/>
  <c r="H94" i="47"/>
  <c r="H91"/>
  <c r="G38" i="67" s="1"/>
  <c r="H88" i="47"/>
  <c r="H83"/>
  <c r="G32" i="67" s="1"/>
  <c r="H81" i="47"/>
  <c r="G31" i="67" s="1"/>
  <c r="H77" i="47"/>
  <c r="G29" i="67" s="1"/>
  <c r="G27" s="1"/>
  <c r="I77" i="47"/>
  <c r="H70"/>
  <c r="G26" i="67" s="1"/>
  <c r="I70" i="47"/>
  <c r="H68"/>
  <c r="G25" i="67" s="1"/>
  <c r="I68" i="47"/>
  <c r="H65"/>
  <c r="G24" i="67" s="1"/>
  <c r="I65" i="47"/>
  <c r="H63"/>
  <c r="G23" i="67" s="1"/>
  <c r="I63" i="47"/>
  <c r="H61"/>
  <c r="G22" i="67" s="1"/>
  <c r="I61" i="47"/>
  <c r="H54"/>
  <c r="I54"/>
  <c r="H51"/>
  <c r="G19" i="67" s="1"/>
  <c r="I51" i="47"/>
  <c r="H48"/>
  <c r="G17" i="67" s="1"/>
  <c r="I48" i="47"/>
  <c r="H38"/>
  <c r="G16" i="67" s="1"/>
  <c r="I38" i="47"/>
  <c r="H33"/>
  <c r="G15" i="67" s="1"/>
  <c r="I33" i="47"/>
  <c r="H30"/>
  <c r="G14" i="67" s="1"/>
  <c r="I30" i="47"/>
  <c r="H25"/>
  <c r="G13" i="67" s="1"/>
  <c r="I25" i="47"/>
  <c r="H21"/>
  <c r="G12" i="67" s="1"/>
  <c r="I21" i="47"/>
  <c r="H17"/>
  <c r="G11" i="67" s="1"/>
  <c r="I17" i="47"/>
  <c r="H13"/>
  <c r="G10" i="67" s="1"/>
  <c r="I13" i="47"/>
  <c r="H9"/>
  <c r="G9" i="67" s="1"/>
  <c r="I9" i="47"/>
  <c r="B86"/>
  <c r="A34" i="67" s="1"/>
  <c r="E34" s="1"/>
  <c r="B83" i="47"/>
  <c r="C86"/>
  <c r="C81"/>
  <c r="E86"/>
  <c r="E93"/>
  <c r="E96"/>
  <c r="C47" i="13" l="1"/>
  <c r="C46"/>
  <c r="C49"/>
  <c r="F86" i="47"/>
  <c r="J86"/>
  <c r="K86"/>
  <c r="F93"/>
  <c r="J93"/>
  <c r="K93"/>
  <c r="F96"/>
  <c r="K96"/>
  <c r="J96"/>
  <c r="H50"/>
  <c r="I8"/>
  <c r="I50"/>
  <c r="I60"/>
  <c r="H60"/>
  <c r="G20" i="67"/>
  <c r="G18" s="1"/>
  <c r="H8" i="47"/>
  <c r="H80"/>
  <c r="G21" i="67"/>
  <c r="G8"/>
  <c r="G30"/>
  <c r="F33"/>
  <c r="F32"/>
  <c r="E47" i="47"/>
  <c r="E46"/>
  <c r="E43"/>
  <c r="E40"/>
  <c r="E31"/>
  <c r="E29"/>
  <c r="E28"/>
  <c r="E27"/>
  <c r="E24"/>
  <c r="E16"/>
  <c r="E12"/>
  <c r="E11"/>
  <c r="E10"/>
  <c r="G94"/>
  <c r="G92"/>
  <c r="F39" i="67" s="1"/>
  <c r="G82" i="47"/>
  <c r="A55" i="66"/>
  <c r="A54" s="1"/>
  <c r="D27" i="17"/>
  <c r="J27" s="1"/>
  <c r="C8" i="83"/>
  <c r="F10" i="47" l="1"/>
  <c r="K10"/>
  <c r="J10"/>
  <c r="F27"/>
  <c r="K27"/>
  <c r="J27"/>
  <c r="F40"/>
  <c r="K40"/>
  <c r="J40"/>
  <c r="F46"/>
  <c r="K46"/>
  <c r="J46"/>
  <c r="F24"/>
  <c r="K24"/>
  <c r="J24"/>
  <c r="F31"/>
  <c r="K31"/>
  <c r="J31"/>
  <c r="F12"/>
  <c r="K12"/>
  <c r="J12"/>
  <c r="F29"/>
  <c r="K29"/>
  <c r="J29"/>
  <c r="F43"/>
  <c r="K43"/>
  <c r="J43"/>
  <c r="F11"/>
  <c r="K11"/>
  <c r="J11"/>
  <c r="F16"/>
  <c r="K16"/>
  <c r="J16"/>
  <c r="F28"/>
  <c r="K28"/>
  <c r="J28"/>
  <c r="F47"/>
  <c r="K47"/>
  <c r="J47"/>
  <c r="G91"/>
  <c r="F38" i="67" s="1"/>
  <c r="H97" i="47"/>
  <c r="G44" i="67"/>
  <c r="G81" i="47"/>
  <c r="G61"/>
  <c r="F22" i="67" s="1"/>
  <c r="E62" i="47"/>
  <c r="G89"/>
  <c r="F37" i="67" s="1"/>
  <c r="F36" s="1"/>
  <c r="E90" i="47"/>
  <c r="G9"/>
  <c r="F9" i="67" s="1"/>
  <c r="F11" i="26" s="1"/>
  <c r="F21" i="52"/>
  <c r="F22"/>
  <c r="F23"/>
  <c r="F26"/>
  <c r="F27"/>
  <c r="F28"/>
  <c r="F20"/>
  <c r="F15"/>
  <c r="F16"/>
  <c r="F17"/>
  <c r="F62" i="47" l="1"/>
  <c r="K62"/>
  <c r="J62"/>
  <c r="F90"/>
  <c r="J90"/>
  <c r="K90"/>
  <c r="F31" i="67"/>
  <c r="F30" s="1"/>
  <c r="G80" i="47"/>
  <c r="G88"/>
  <c r="F19" i="52"/>
  <c r="A21" i="17"/>
  <c r="B89" i="47" l="1"/>
  <c r="B88" s="1"/>
  <c r="B65"/>
  <c r="A24" i="67" s="1"/>
  <c r="C20" i="63"/>
  <c r="D20"/>
  <c r="C17"/>
  <c r="D17"/>
  <c r="C11"/>
  <c r="C7"/>
  <c r="D14"/>
  <c r="D17" i="46"/>
  <c r="D20"/>
  <c r="D12"/>
  <c r="D11" s="1"/>
  <c r="C8"/>
  <c r="C7" s="1"/>
  <c r="F21" i="17"/>
  <c r="C17" i="46"/>
  <c r="D15"/>
  <c r="D14" s="1"/>
  <c r="C14"/>
  <c r="C11"/>
  <c r="C20"/>
  <c r="C44" i="1"/>
  <c r="C42"/>
  <c r="B43" i="55"/>
  <c r="B47" s="1"/>
  <c r="B39"/>
  <c r="D42" i="1"/>
  <c r="B42"/>
  <c r="E42"/>
  <c r="C39" i="55"/>
  <c r="C46" s="1"/>
  <c r="C43"/>
  <c r="D43"/>
  <c r="D47" s="1"/>
  <c r="E43"/>
  <c r="E47" s="1"/>
  <c r="E39"/>
  <c r="E46" s="1"/>
  <c r="D39"/>
  <c r="E10" i="62"/>
  <c r="E9" s="1"/>
  <c r="F18" i="52"/>
  <c r="F12"/>
  <c r="F9"/>
  <c r="E23" i="62"/>
  <c r="E19"/>
  <c r="E22"/>
  <c r="E26"/>
  <c r="E20"/>
  <c r="D21" i="17"/>
  <c r="J21" s="1"/>
  <c r="E21" i="32"/>
  <c r="B27" i="20"/>
  <c r="B26" s="1"/>
  <c r="B29"/>
  <c r="E61" i="47"/>
  <c r="I89"/>
  <c r="B61"/>
  <c r="B63"/>
  <c r="B68"/>
  <c r="A25" i="67" s="1"/>
  <c r="B70" i="47"/>
  <c r="A26" i="67" s="1"/>
  <c r="A16"/>
  <c r="B48" i="47"/>
  <c r="A17" i="67" s="1"/>
  <c r="E17" i="63"/>
  <c r="E17" i="46"/>
  <c r="A33" i="33"/>
  <c r="D11" i="17"/>
  <c r="J11" s="1"/>
  <c r="C9" i="66"/>
  <c r="C28"/>
  <c r="C32"/>
  <c r="F10" i="52"/>
  <c r="F11"/>
  <c r="F13"/>
  <c r="F14"/>
  <c r="D20" i="49"/>
  <c r="E20"/>
  <c r="F20"/>
  <c r="G20"/>
  <c r="D20" i="68"/>
  <c r="E20"/>
  <c r="F20"/>
  <c r="G20"/>
  <c r="A9" i="67"/>
  <c r="A10"/>
  <c r="A11"/>
  <c r="B21" i="47"/>
  <c r="A12" i="67" s="1"/>
  <c r="A13"/>
  <c r="B30" i="47"/>
  <c r="A14" i="67" s="1"/>
  <c r="A15"/>
  <c r="C9" i="47"/>
  <c r="C13"/>
  <c r="B10" i="67" s="1"/>
  <c r="C17" i="47"/>
  <c r="B11" i="67" s="1"/>
  <c r="C21" i="47"/>
  <c r="B12" i="67" s="1"/>
  <c r="C25" i="47"/>
  <c r="B13" i="67" s="1"/>
  <c r="B14"/>
  <c r="C33" i="47"/>
  <c r="B15" i="67" s="1"/>
  <c r="C38" i="47"/>
  <c r="B16" i="67" s="1"/>
  <c r="C48" i="47"/>
  <c r="B17" i="67" s="1"/>
  <c r="B51" i="47"/>
  <c r="A20" i="67"/>
  <c r="C51" i="47"/>
  <c r="C54"/>
  <c r="B20" i="67" s="1"/>
  <c r="C63" i="47"/>
  <c r="B23" i="67" s="1"/>
  <c r="C65" i="47"/>
  <c r="B24" i="67" s="1"/>
  <c r="C68" i="47"/>
  <c r="B25" i="67" s="1"/>
  <c r="C70" i="47"/>
  <c r="B26" i="67" s="1"/>
  <c r="A28"/>
  <c r="B28"/>
  <c r="C77" i="47"/>
  <c r="B29" i="67" s="1"/>
  <c r="A29"/>
  <c r="B81" i="47"/>
  <c r="I82"/>
  <c r="I81" s="1"/>
  <c r="I80" s="1"/>
  <c r="A33" i="67"/>
  <c r="C83" i="47"/>
  <c r="C80" s="1"/>
  <c r="C89"/>
  <c r="C88" s="1"/>
  <c r="B92"/>
  <c r="B91" s="1"/>
  <c r="A38" i="67" s="1"/>
  <c r="C92" i="47"/>
  <c r="C91" s="1"/>
  <c r="B38" i="67" s="1"/>
  <c r="I92" i="47"/>
  <c r="I91" s="1"/>
  <c r="B95"/>
  <c r="B94" s="1"/>
  <c r="I95"/>
  <c r="I94" s="1"/>
  <c r="C94"/>
  <c r="B31" i="67"/>
  <c r="B22"/>
  <c r="A32"/>
  <c r="E11" i="63"/>
  <c r="D15"/>
  <c r="E20"/>
  <c r="E11" i="46"/>
  <c r="E14"/>
  <c r="E20"/>
  <c r="C9" i="62"/>
  <c r="C11"/>
  <c r="C14"/>
  <c r="C21"/>
  <c r="C25"/>
  <c r="C31"/>
  <c r="C30" s="1"/>
  <c r="D9"/>
  <c r="D11"/>
  <c r="D14"/>
  <c r="D21"/>
  <c r="D25"/>
  <c r="D31"/>
  <c r="D30" s="1"/>
  <c r="E12"/>
  <c r="E13"/>
  <c r="E15"/>
  <c r="E14" s="1"/>
  <c r="E27"/>
  <c r="E32"/>
  <c r="E31" s="1"/>
  <c r="E30" s="1"/>
  <c r="H9"/>
  <c r="H15"/>
  <c r="H19"/>
  <c r="H18" s="1"/>
  <c r="I9"/>
  <c r="I15"/>
  <c r="I19"/>
  <c r="I18" s="1"/>
  <c r="J10"/>
  <c r="J11"/>
  <c r="J12"/>
  <c r="J14"/>
  <c r="J13"/>
  <c r="J16"/>
  <c r="J15" s="1"/>
  <c r="J20"/>
  <c r="J21"/>
  <c r="A9"/>
  <c r="A11"/>
  <c r="A14"/>
  <c r="F9"/>
  <c r="F15"/>
  <c r="F19"/>
  <c r="F18" s="1"/>
  <c r="A18"/>
  <c r="A21"/>
  <c r="A25"/>
  <c r="H31"/>
  <c r="H30" s="1"/>
  <c r="H25" s="1"/>
  <c r="I31"/>
  <c r="I30" s="1"/>
  <c r="I25" s="1"/>
  <c r="J32"/>
  <c r="J31" s="1"/>
  <c r="J30" s="1"/>
  <c r="J25" s="1"/>
  <c r="F27"/>
  <c r="F26" s="1"/>
  <c r="H27"/>
  <c r="H26"/>
  <c r="I27"/>
  <c r="I26" s="1"/>
  <c r="J28"/>
  <c r="J27" s="1"/>
  <c r="J26" s="1"/>
  <c r="A31"/>
  <c r="A30" s="1"/>
  <c r="F31"/>
  <c r="F30" s="1"/>
  <c r="F25" s="1"/>
  <c r="A35"/>
  <c r="A34" s="1"/>
  <c r="C35"/>
  <c r="C34" s="1"/>
  <c r="D35"/>
  <c r="D34" s="1"/>
  <c r="E36"/>
  <c r="E35" s="1"/>
  <c r="E34" s="1"/>
  <c r="A32" i="66"/>
  <c r="A28"/>
  <c r="D22"/>
  <c r="D25"/>
  <c r="D28"/>
  <c r="D32"/>
  <c r="E10"/>
  <c r="E17"/>
  <c r="E31"/>
  <c r="E34"/>
  <c r="E32" s="1"/>
  <c r="A25"/>
  <c r="A18" s="1"/>
  <c r="A46"/>
  <c r="A37" s="1"/>
  <c r="C39"/>
  <c r="C47"/>
  <c r="C46" s="1"/>
  <c r="D46"/>
  <c r="D52"/>
  <c r="D51" s="1"/>
  <c r="D57"/>
  <c r="E40"/>
  <c r="E41"/>
  <c r="E42"/>
  <c r="E43"/>
  <c r="E45"/>
  <c r="E48"/>
  <c r="E49"/>
  <c r="A57"/>
  <c r="A52"/>
  <c r="A51" s="1"/>
  <c r="C52"/>
  <c r="B39" i="60"/>
  <c r="B39" i="39"/>
  <c r="G7" i="59"/>
  <c r="G8"/>
  <c r="E9" i="35"/>
  <c r="E9" i="59"/>
  <c r="E11" s="1"/>
  <c r="E14"/>
  <c r="F14"/>
  <c r="I8" i="38"/>
  <c r="I9"/>
  <c r="E15"/>
  <c r="F15"/>
  <c r="H13" i="35"/>
  <c r="J13" s="1"/>
  <c r="D10" i="37"/>
  <c r="E10"/>
  <c r="F10"/>
  <c r="C11"/>
  <c r="Q11"/>
  <c r="G9" i="35"/>
  <c r="H11"/>
  <c r="A10" i="33"/>
  <c r="A11" i="32"/>
  <c r="A15" i="33"/>
  <c r="A20"/>
  <c r="B10"/>
  <c r="E10"/>
  <c r="E11" i="32" s="1"/>
  <c r="A13" i="33"/>
  <c r="B13"/>
  <c r="E13"/>
  <c r="E12" i="32" s="1"/>
  <c r="B15" i="33"/>
  <c r="E15"/>
  <c r="B20"/>
  <c r="B9" s="1"/>
  <c r="E20"/>
  <c r="E14" i="32"/>
  <c r="F20" i="33"/>
  <c r="F8" s="1"/>
  <c r="F23"/>
  <c r="A24"/>
  <c r="A23"/>
  <c r="B24"/>
  <c r="B23" s="1"/>
  <c r="E24"/>
  <c r="E23" s="1"/>
  <c r="G25"/>
  <c r="G26"/>
  <c r="A28"/>
  <c r="A27" s="1"/>
  <c r="A30"/>
  <c r="B28"/>
  <c r="E28"/>
  <c r="E18" i="32"/>
  <c r="B30" i="33"/>
  <c r="E30"/>
  <c r="E27" s="1"/>
  <c r="A35"/>
  <c r="A32" s="1"/>
  <c r="B33"/>
  <c r="E33"/>
  <c r="E32" s="1"/>
  <c r="B35"/>
  <c r="B32" s="1"/>
  <c r="E35"/>
  <c r="E22" i="32" s="1"/>
  <c r="A38" i="33"/>
  <c r="A37" s="1"/>
  <c r="A23" i="32" s="1"/>
  <c r="B38" i="33"/>
  <c r="E38"/>
  <c r="E37"/>
  <c r="E23" i="32" s="1"/>
  <c r="A41" i="33"/>
  <c r="B41"/>
  <c r="E41"/>
  <c r="E40" s="1"/>
  <c r="E25" i="32" s="1"/>
  <c r="A12"/>
  <c r="A13"/>
  <c r="A14"/>
  <c r="A18"/>
  <c r="A19"/>
  <c r="A21"/>
  <c r="A22"/>
  <c r="F14"/>
  <c r="F9" s="1"/>
  <c r="A24"/>
  <c r="E26"/>
  <c r="F9" i="53"/>
  <c r="A10"/>
  <c r="A11" i="29" s="1"/>
  <c r="A18" i="53"/>
  <c r="B10"/>
  <c r="B21"/>
  <c r="B18"/>
  <c r="E10"/>
  <c r="E11" i="29" s="1"/>
  <c r="F10" i="53"/>
  <c r="G11"/>
  <c r="G12"/>
  <c r="G13"/>
  <c r="A14"/>
  <c r="A12" i="29" s="1"/>
  <c r="B14" i="53"/>
  <c r="E12" i="29"/>
  <c r="F14" i="53"/>
  <c r="G15"/>
  <c r="G16"/>
  <c r="E18"/>
  <c r="E13" i="29" s="1"/>
  <c r="F18" i="53"/>
  <c r="G19"/>
  <c r="G20"/>
  <c r="E21"/>
  <c r="E14" i="29" s="1"/>
  <c r="F21" i="53"/>
  <c r="G22"/>
  <c r="B23"/>
  <c r="E23"/>
  <c r="E15" i="29" s="1"/>
  <c r="G24" i="53"/>
  <c r="G25"/>
  <c r="G26"/>
  <c r="A27"/>
  <c r="B27"/>
  <c r="E27"/>
  <c r="E16" i="29" s="1"/>
  <c r="G28" i="53"/>
  <c r="G29"/>
  <c r="A30"/>
  <c r="A17" i="29" s="1"/>
  <c r="B30" i="53"/>
  <c r="E30"/>
  <c r="E9" s="1"/>
  <c r="F30"/>
  <c r="G31"/>
  <c r="G32"/>
  <c r="G33"/>
  <c r="A34"/>
  <c r="B34"/>
  <c r="B18" i="29" s="1"/>
  <c r="E34" i="53"/>
  <c r="F34"/>
  <c r="G35"/>
  <c r="A37"/>
  <c r="B37"/>
  <c r="E37"/>
  <c r="E20" i="29" s="1"/>
  <c r="G38" i="53"/>
  <c r="G39"/>
  <c r="A40"/>
  <c r="B40"/>
  <c r="E40"/>
  <c r="F40"/>
  <c r="F36" s="1"/>
  <c r="G41"/>
  <c r="G42"/>
  <c r="G43"/>
  <c r="G44"/>
  <c r="G45"/>
  <c r="A47"/>
  <c r="B47"/>
  <c r="B23" i="29" s="1"/>
  <c r="E47" i="53"/>
  <c r="E23" i="29" s="1"/>
  <c r="G48" i="53"/>
  <c r="A49"/>
  <c r="B49"/>
  <c r="E49"/>
  <c r="E24" i="29" s="1"/>
  <c r="F49" i="53"/>
  <c r="F46" s="1"/>
  <c r="G50"/>
  <c r="A51"/>
  <c r="A25" i="29" s="1"/>
  <c r="B51" i="53"/>
  <c r="B46" s="1"/>
  <c r="E51"/>
  <c r="F51"/>
  <c r="G52"/>
  <c r="F53"/>
  <c r="A54"/>
  <c r="A27" i="29" s="1"/>
  <c r="A26" s="1"/>
  <c r="B54" i="53"/>
  <c r="B53" s="1"/>
  <c r="B27" i="29" s="1"/>
  <c r="B26" s="1"/>
  <c r="E54" i="53"/>
  <c r="E53" s="1"/>
  <c r="F54"/>
  <c r="G55"/>
  <c r="A16" i="29"/>
  <c r="A18"/>
  <c r="A20"/>
  <c r="A21"/>
  <c r="A23"/>
  <c r="A24"/>
  <c r="B16"/>
  <c r="B20"/>
  <c r="B24"/>
  <c r="F9"/>
  <c r="F11"/>
  <c r="C8" i="24"/>
  <c r="F9" i="22"/>
  <c r="A8" i="19"/>
  <c r="A19" s="1"/>
  <c r="B10" s="1"/>
  <c r="E13"/>
  <c r="E12" s="1"/>
  <c r="A9" i="17"/>
  <c r="A8" s="1"/>
  <c r="F9"/>
  <c r="F11"/>
  <c r="H13"/>
  <c r="I13" s="1"/>
  <c r="F15"/>
  <c r="F17"/>
  <c r="A15"/>
  <c r="A17"/>
  <c r="A23"/>
  <c r="A20" s="1"/>
  <c r="A31" s="1"/>
  <c r="D23"/>
  <c r="J23" s="1"/>
  <c r="F23"/>
  <c r="H24"/>
  <c r="H25"/>
  <c r="H27"/>
  <c r="I27" s="1"/>
  <c r="A29"/>
  <c r="A28" s="1"/>
  <c r="F29"/>
  <c r="F42" i="1"/>
  <c r="B44"/>
  <c r="D44"/>
  <c r="E44"/>
  <c r="F44"/>
  <c r="C40" i="14"/>
  <c r="E40"/>
  <c r="F39" i="55"/>
  <c r="F46" s="1"/>
  <c r="F43"/>
  <c r="F47" s="1"/>
  <c r="C47"/>
  <c r="C41" i="12"/>
  <c r="C45" s="1"/>
  <c r="E24" i="32"/>
  <c r="G54" i="53"/>
  <c r="G37"/>
  <c r="B12" i="36"/>
  <c r="G24" i="33"/>
  <c r="I8" i="62"/>
  <c r="D8"/>
  <c r="G49" i="53"/>
  <c r="E46"/>
  <c r="G47"/>
  <c r="G40"/>
  <c r="G27"/>
  <c r="G18"/>
  <c r="H23" i="67"/>
  <c r="E19" i="32"/>
  <c r="E13"/>
  <c r="E21" i="29"/>
  <c r="C48" i="13"/>
  <c r="E25" i="29"/>
  <c r="E36" i="53"/>
  <c r="E18" i="29"/>
  <c r="G21" i="53"/>
  <c r="G10"/>
  <c r="D14" i="59"/>
  <c r="D15" i="38"/>
  <c r="E16" i="32"/>
  <c r="E15" s="1"/>
  <c r="A16"/>
  <c r="A15" s="1"/>
  <c r="B41" i="67"/>
  <c r="B40" s="1"/>
  <c r="A19"/>
  <c r="D46" i="55" l="1"/>
  <c r="D18" i="66"/>
  <c r="A9" i="53"/>
  <c r="B31" i="20"/>
  <c r="E9" i="66"/>
  <c r="E8" s="1"/>
  <c r="C8"/>
  <c r="C38"/>
  <c r="C37" s="1"/>
  <c r="E39"/>
  <c r="E38" s="1"/>
  <c r="B19" i="20" s="1"/>
  <c r="C51" i="66"/>
  <c r="E51" s="1"/>
  <c r="E52"/>
  <c r="A7"/>
  <c r="A35" s="1"/>
  <c r="E29"/>
  <c r="E28" s="1"/>
  <c r="A27" i="67"/>
  <c r="B27"/>
  <c r="A19" i="17"/>
  <c r="B26"/>
  <c r="A37" i="67"/>
  <c r="A36" s="1"/>
  <c r="B39"/>
  <c r="K61" i="47"/>
  <c r="J61"/>
  <c r="B60"/>
  <c r="A39" i="67"/>
  <c r="A23"/>
  <c r="F61" i="47"/>
  <c r="A22" i="67"/>
  <c r="A21" s="1"/>
  <c r="B17" i="17"/>
  <c r="F28"/>
  <c r="F20"/>
  <c r="F31" s="1"/>
  <c r="B18"/>
  <c r="B27"/>
  <c r="B25"/>
  <c r="B13"/>
  <c r="E44" i="55"/>
  <c r="G42" i="35"/>
  <c r="F10" i="38"/>
  <c r="F12" s="1"/>
  <c r="D9" i="59"/>
  <c r="D11" s="1"/>
  <c r="D10" i="38"/>
  <c r="N11" i="37"/>
  <c r="O11" s="1"/>
  <c r="F14" i="17"/>
  <c r="F8" i="22"/>
  <c r="E8" s="1"/>
  <c r="A31" i="67"/>
  <c r="A30" s="1"/>
  <c r="B80" i="47"/>
  <c r="H41" i="67"/>
  <c r="H40" s="1"/>
  <c r="D40" s="1"/>
  <c r="E17" i="29"/>
  <c r="E10" s="1"/>
  <c r="L29" i="26"/>
  <c r="E74" i="47"/>
  <c r="A50" i="66"/>
  <c r="D50"/>
  <c r="F44" i="55"/>
  <c r="B44"/>
  <c r="C43" i="12"/>
  <c r="C44"/>
  <c r="E89" i="47"/>
  <c r="I88"/>
  <c r="E88" s="1"/>
  <c r="E84"/>
  <c r="H32" i="67"/>
  <c r="D32" s="1"/>
  <c r="E32" s="1"/>
  <c r="E25" i="62"/>
  <c r="D17"/>
  <c r="C17"/>
  <c r="E21"/>
  <c r="B9" i="67"/>
  <c r="B8" s="1"/>
  <c r="C8" i="47"/>
  <c r="B33" i="67"/>
  <c r="E94" i="47"/>
  <c r="E95"/>
  <c r="E92"/>
  <c r="E82"/>
  <c r="H37" i="67"/>
  <c r="H29"/>
  <c r="H27" s="1"/>
  <c r="H26"/>
  <c r="H25"/>
  <c r="H17"/>
  <c r="H13"/>
  <c r="H12"/>
  <c r="H11"/>
  <c r="C60" i="47"/>
  <c r="D38" i="66"/>
  <c r="D37" s="1"/>
  <c r="A9" i="33"/>
  <c r="H9" i="35"/>
  <c r="E47" i="66"/>
  <c r="E46" s="1"/>
  <c r="B18" i="20"/>
  <c r="F8" i="62"/>
  <c r="H39" i="67"/>
  <c r="D39" s="1"/>
  <c r="B37"/>
  <c r="B36" s="1"/>
  <c r="G51" i="53"/>
  <c r="G34"/>
  <c r="A17" i="32"/>
  <c r="B27" i="33"/>
  <c r="G23"/>
  <c r="E9"/>
  <c r="J9" i="62"/>
  <c r="J8" s="1"/>
  <c r="B8" i="19"/>
  <c r="B36" i="53"/>
  <c r="A36"/>
  <c r="G30"/>
  <c r="G23"/>
  <c r="E19" i="29"/>
  <c r="G46" i="53"/>
  <c r="A46"/>
  <c r="F8"/>
  <c r="G36"/>
  <c r="E8"/>
  <c r="E75" s="1"/>
  <c r="G14"/>
  <c r="H24" i="67"/>
  <c r="I23" i="26"/>
  <c r="I20"/>
  <c r="N12" i="37"/>
  <c r="P12" s="1"/>
  <c r="P10" s="1"/>
  <c r="E42" i="35"/>
  <c r="D12" i="38"/>
  <c r="B13" i="36"/>
  <c r="B10" s="1"/>
  <c r="B44" s="1"/>
  <c r="F9" i="59"/>
  <c r="F11" s="1"/>
  <c r="G16" i="20"/>
  <c r="L20" i="26"/>
  <c r="G15" i="59"/>
  <c r="A20" i="32"/>
  <c r="B21" i="67"/>
  <c r="A40" i="33"/>
  <c r="I10" i="26"/>
  <c r="A14" i="17"/>
  <c r="H11"/>
  <c r="I11" s="1"/>
  <c r="H22"/>
  <c r="I22" s="1"/>
  <c r="F8"/>
  <c r="G23" s="1"/>
  <c r="D12" i="63"/>
  <c r="D11" s="1"/>
  <c r="H23" i="17"/>
  <c r="I23" s="1"/>
  <c r="F12" i="36"/>
  <c r="M12" s="1"/>
  <c r="I15" i="38"/>
  <c r="B10" i="29"/>
  <c r="E20" i="32"/>
  <c r="I16" i="38"/>
  <c r="B19" i="29"/>
  <c r="F8" i="52"/>
  <c r="B32" i="67"/>
  <c r="C50" i="47"/>
  <c r="B19" i="67"/>
  <c r="B18" s="1"/>
  <c r="A41"/>
  <c r="A40" s="1"/>
  <c r="A18"/>
  <c r="A44" s="1"/>
  <c r="B50" i="47"/>
  <c r="G53" i="53"/>
  <c r="E27" i="29"/>
  <c r="E26" s="1"/>
  <c r="D9" i="17"/>
  <c r="J9" s="1"/>
  <c r="H10"/>
  <c r="I10" s="1"/>
  <c r="E12" i="38"/>
  <c r="E69" i="33"/>
  <c r="E10" i="32"/>
  <c r="B9" i="19"/>
  <c r="B25" i="29"/>
  <c r="B22" s="1"/>
  <c r="A19"/>
  <c r="H8" i="62"/>
  <c r="E11"/>
  <c r="E8" s="1"/>
  <c r="E9" i="47"/>
  <c r="B46" i="55"/>
  <c r="A22" i="29"/>
  <c r="B9" i="53"/>
  <c r="A10" i="29"/>
  <c r="E22"/>
  <c r="A53" i="53"/>
  <c r="E17" i="32"/>
  <c r="A10"/>
  <c r="G14" i="59"/>
  <c r="I7" i="62"/>
  <c r="E18"/>
  <c r="E17" s="1"/>
  <c r="H22" i="67"/>
  <c r="D22" s="1"/>
  <c r="H21" i="17"/>
  <c r="I21" s="1"/>
  <c r="D20"/>
  <c r="J20" s="1"/>
  <c r="J19" i="62"/>
  <c r="J18" s="1"/>
  <c r="F7"/>
  <c r="D7"/>
  <c r="D37" s="1"/>
  <c r="C8"/>
  <c r="C7" s="1"/>
  <c r="C37" s="1"/>
  <c r="A17"/>
  <c r="A8"/>
  <c r="H42" i="35" l="1"/>
  <c r="J42" s="1"/>
  <c r="J9"/>
  <c r="L8" i="26"/>
  <c r="K8" s="1"/>
  <c r="E39" i="67"/>
  <c r="E22"/>
  <c r="J82" i="47"/>
  <c r="K82"/>
  <c r="F84"/>
  <c r="K84"/>
  <c r="J84"/>
  <c r="F94"/>
  <c r="J94"/>
  <c r="K94"/>
  <c r="F74"/>
  <c r="K74"/>
  <c r="J74"/>
  <c r="F95"/>
  <c r="J95"/>
  <c r="K95"/>
  <c r="F89"/>
  <c r="J89"/>
  <c r="K89"/>
  <c r="F9"/>
  <c r="K9"/>
  <c r="J9"/>
  <c r="F92"/>
  <c r="K92"/>
  <c r="J92"/>
  <c r="F88"/>
  <c r="K88"/>
  <c r="J88"/>
  <c r="E40" i="67"/>
  <c r="E81" i="47"/>
  <c r="F82"/>
  <c r="C23" i="66"/>
  <c r="E23" s="1"/>
  <c r="E22" s="1"/>
  <c r="C22" i="87"/>
  <c r="E20" i="66"/>
  <c r="E19" s="1"/>
  <c r="C19" i="87"/>
  <c r="G29" i="17"/>
  <c r="G24"/>
  <c r="G30"/>
  <c r="G12"/>
  <c r="G27"/>
  <c r="G13"/>
  <c r="G25"/>
  <c r="G18"/>
  <c r="G11"/>
  <c r="G17"/>
  <c r="G28"/>
  <c r="D41" i="67"/>
  <c r="E41" s="1"/>
  <c r="D7" i="66"/>
  <c r="D35" s="1"/>
  <c r="B11" i="17"/>
  <c r="B29"/>
  <c r="G14"/>
  <c r="G20"/>
  <c r="G16"/>
  <c r="B30" i="67"/>
  <c r="B44" s="1"/>
  <c r="E78" i="47"/>
  <c r="G48"/>
  <c r="E49"/>
  <c r="E75"/>
  <c r="E76"/>
  <c r="B28" i="17"/>
  <c r="B12"/>
  <c r="G9"/>
  <c r="B15"/>
  <c r="B21"/>
  <c r="B30"/>
  <c r="B10"/>
  <c r="B14"/>
  <c r="B22"/>
  <c r="C25" i="66"/>
  <c r="E26"/>
  <c r="E25" s="1"/>
  <c r="H7" i="62"/>
  <c r="H37" s="1"/>
  <c r="A7"/>
  <c r="A37" s="1"/>
  <c r="H36" i="67"/>
  <c r="D36" s="1"/>
  <c r="E36" s="1"/>
  <c r="D37"/>
  <c r="E37" s="1"/>
  <c r="E85" i="47"/>
  <c r="I97"/>
  <c r="C97"/>
  <c r="H31" i="67"/>
  <c r="D31" s="1"/>
  <c r="E31" s="1"/>
  <c r="H38"/>
  <c r="D38" s="1"/>
  <c r="E38" s="1"/>
  <c r="E91" i="47"/>
  <c r="H21" i="67"/>
  <c r="H33"/>
  <c r="H20"/>
  <c r="H19"/>
  <c r="H16"/>
  <c r="H15"/>
  <c r="H14"/>
  <c r="H10"/>
  <c r="H9"/>
  <c r="D9" s="1"/>
  <c r="E9" s="1"/>
  <c r="E37" i="66"/>
  <c r="D60"/>
  <c r="I37" i="62"/>
  <c r="B9" i="29"/>
  <c r="B8" s="1"/>
  <c r="B33" s="1"/>
  <c r="A8" i="53"/>
  <c r="A75" s="1"/>
  <c r="G22" i="17"/>
  <c r="B16"/>
  <c r="B8"/>
  <c r="B9"/>
  <c r="B23"/>
  <c r="B24"/>
  <c r="I51" i="26"/>
  <c r="F29" i="52"/>
  <c r="A9" i="29"/>
  <c r="A8" s="1"/>
  <c r="A33" s="1"/>
  <c r="A60" i="66"/>
  <c r="N10" i="37"/>
  <c r="I10" i="38"/>
  <c r="I12" s="1"/>
  <c r="C12" i="37"/>
  <c r="B12" s="1"/>
  <c r="G9" i="59"/>
  <c r="G11" s="1"/>
  <c r="F13" i="36"/>
  <c r="E9" i="29"/>
  <c r="D18" i="17" s="1"/>
  <c r="J18" s="1"/>
  <c r="G12" i="36"/>
  <c r="E9" i="32"/>
  <c r="A8" i="33"/>
  <c r="F19" i="17"/>
  <c r="G19" s="1"/>
  <c r="G15"/>
  <c r="G10"/>
  <c r="G31"/>
  <c r="G8"/>
  <c r="B19"/>
  <c r="G21"/>
  <c r="L12" i="36"/>
  <c r="J7" i="62"/>
  <c r="J37" s="1"/>
  <c r="F37"/>
  <c r="H9" i="17"/>
  <c r="I9" s="1"/>
  <c r="D8"/>
  <c r="B31"/>
  <c r="G9" i="53"/>
  <c r="B8"/>
  <c r="H20" i="17"/>
  <c r="I20" s="1"/>
  <c r="E7" i="62"/>
  <c r="E37" s="1"/>
  <c r="E73" i="47" l="1"/>
  <c r="B16" i="20" s="1"/>
  <c r="E18" i="66"/>
  <c r="E12" i="17"/>
  <c r="J8"/>
  <c r="J85" i="47"/>
  <c r="K85"/>
  <c r="F76"/>
  <c r="K76"/>
  <c r="J76"/>
  <c r="F49"/>
  <c r="K49"/>
  <c r="J49"/>
  <c r="F73"/>
  <c r="F81"/>
  <c r="J81"/>
  <c r="K81"/>
  <c r="F75"/>
  <c r="J75"/>
  <c r="K75"/>
  <c r="F78"/>
  <c r="J78"/>
  <c r="K78"/>
  <c r="F91"/>
  <c r="J91"/>
  <c r="K91"/>
  <c r="C22" i="66"/>
  <c r="E83" i="47"/>
  <c r="F85"/>
  <c r="C19" i="66"/>
  <c r="C21" i="87"/>
  <c r="E22"/>
  <c r="E21" s="1"/>
  <c r="C18"/>
  <c r="E19"/>
  <c r="E18" s="1"/>
  <c r="E7" i="66"/>
  <c r="E35" s="1"/>
  <c r="F29" i="67"/>
  <c r="F31" i="26" s="1"/>
  <c r="F29" s="1"/>
  <c r="E77" i="47"/>
  <c r="B17" i="20" s="1"/>
  <c r="F17" i="67"/>
  <c r="F19" i="26" s="1"/>
  <c r="E48" i="47"/>
  <c r="D17" i="17"/>
  <c r="E18"/>
  <c r="E9"/>
  <c r="E13"/>
  <c r="E11"/>
  <c r="I8" i="26"/>
  <c r="H8" s="1"/>
  <c r="H30" i="67"/>
  <c r="D30" s="1"/>
  <c r="E30" s="1"/>
  <c r="D33"/>
  <c r="E33" s="1"/>
  <c r="H18"/>
  <c r="H8"/>
  <c r="C10" i="37"/>
  <c r="F32" i="17"/>
  <c r="G32" s="1"/>
  <c r="L51" i="26"/>
  <c r="E8" i="32"/>
  <c r="E34" s="1"/>
  <c r="E8" i="29"/>
  <c r="E33" s="1"/>
  <c r="G13" i="36"/>
  <c r="M13"/>
  <c r="L13"/>
  <c r="F10"/>
  <c r="M10" s="1"/>
  <c r="M44" s="1"/>
  <c r="O12" i="37"/>
  <c r="Q12"/>
  <c r="B10"/>
  <c r="A9" i="32"/>
  <c r="A8" s="1"/>
  <c r="A34" s="1"/>
  <c r="A69" i="33"/>
  <c r="A32" i="17"/>
  <c r="B32" s="1"/>
  <c r="E20"/>
  <c r="H18"/>
  <c r="I18" s="1"/>
  <c r="B75" i="53"/>
  <c r="G8"/>
  <c r="E22" i="17"/>
  <c r="E23"/>
  <c r="E8"/>
  <c r="E25"/>
  <c r="E24"/>
  <c r="E27"/>
  <c r="H8"/>
  <c r="I8" s="1"/>
  <c r="E10"/>
  <c r="E21"/>
  <c r="B34" i="32"/>
  <c r="E16" i="17"/>
  <c r="H16"/>
  <c r="I16" s="1"/>
  <c r="E8" i="63"/>
  <c r="E8" i="46"/>
  <c r="D15" i="17"/>
  <c r="J15" s="1"/>
  <c r="E30"/>
  <c r="D29"/>
  <c r="J29" s="1"/>
  <c r="H30"/>
  <c r="I30" s="1"/>
  <c r="C18" i="66" l="1"/>
  <c r="C7" s="1"/>
  <c r="C35" s="1"/>
  <c r="D28" i="67"/>
  <c r="E28" s="1"/>
  <c r="B12" i="20"/>
  <c r="J73" i="47"/>
  <c r="E72"/>
  <c r="K72" s="1"/>
  <c r="K73"/>
  <c r="D29" i="67"/>
  <c r="F27"/>
  <c r="E17" i="17"/>
  <c r="J17"/>
  <c r="J83" i="47"/>
  <c r="K83"/>
  <c r="F77"/>
  <c r="J77"/>
  <c r="K77"/>
  <c r="F48"/>
  <c r="K48"/>
  <c r="J48"/>
  <c r="E80"/>
  <c r="F83"/>
  <c r="C17" i="87"/>
  <c r="C7" s="1"/>
  <c r="C37" s="1"/>
  <c r="E17"/>
  <c r="E7" s="1"/>
  <c r="E37" s="1"/>
  <c r="H17" i="17"/>
  <c r="I17" s="1"/>
  <c r="D17" i="67"/>
  <c r="E17" s="1"/>
  <c r="H44"/>
  <c r="F44" i="36"/>
  <c r="L10"/>
  <c r="L44" s="1"/>
  <c r="G10"/>
  <c r="G44" s="1"/>
  <c r="Q10" i="37"/>
  <c r="O10"/>
  <c r="E7" i="63"/>
  <c r="D8"/>
  <c r="D7" s="1"/>
  <c r="D8" i="46"/>
  <c r="D7" s="1"/>
  <c r="E7"/>
  <c r="H15" i="17"/>
  <c r="I15" s="1"/>
  <c r="D14"/>
  <c r="J14" s="1"/>
  <c r="E15"/>
  <c r="E29"/>
  <c r="H29"/>
  <c r="I29" s="1"/>
  <c r="D28"/>
  <c r="J28" s="1"/>
  <c r="J72" i="47" l="1"/>
  <c r="F72"/>
  <c r="E29" i="67"/>
  <c r="E27" s="1"/>
  <c r="D27"/>
  <c r="F80" i="47"/>
  <c r="K80"/>
  <c r="J80"/>
  <c r="H28" i="17"/>
  <c r="I28" s="1"/>
  <c r="E28"/>
  <c r="D31"/>
  <c r="J31" s="1"/>
  <c r="E14"/>
  <c r="H14"/>
  <c r="I14" s="1"/>
  <c r="D19"/>
  <c r="J19" s="1"/>
  <c r="E19" l="1"/>
  <c r="H19"/>
  <c r="I19" s="1"/>
  <c r="D32"/>
  <c r="H31"/>
  <c r="I31" s="1"/>
  <c r="E31"/>
  <c r="J32" l="1"/>
  <c r="E43" i="13"/>
  <c r="E44" s="1"/>
  <c r="H32" i="17"/>
  <c r="I32" s="1"/>
  <c r="E32"/>
  <c r="E9" i="19"/>
  <c r="B9" i="20"/>
  <c r="B11" s="1"/>
  <c r="E49" i="13" l="1"/>
  <c r="E47"/>
  <c r="E46"/>
  <c r="E48"/>
  <c r="B20" i="20"/>
  <c r="B22" s="1"/>
  <c r="B37" s="1"/>
  <c r="B39" s="1"/>
  <c r="E8" i="19"/>
  <c r="F29" s="1"/>
  <c r="F21" l="1"/>
  <c r="F20"/>
  <c r="F22"/>
  <c r="F26"/>
  <c r="F27"/>
  <c r="F16"/>
  <c r="E19"/>
  <c r="F25"/>
  <c r="F10"/>
  <c r="F12"/>
  <c r="F13"/>
  <c r="F14"/>
  <c r="F28"/>
  <c r="F8"/>
  <c r="F17"/>
  <c r="F24"/>
  <c r="F9"/>
  <c r="F19" l="1"/>
  <c r="C59" i="66"/>
  <c r="G26" i="47"/>
  <c r="G27" i="86"/>
  <c r="E26"/>
  <c r="G26" s="1"/>
  <c r="C58" i="66" l="1"/>
  <c r="C57" s="1"/>
  <c r="C50" s="1"/>
  <c r="C60" s="1"/>
  <c r="E59"/>
  <c r="E58" s="1"/>
  <c r="E57" s="1"/>
  <c r="E50" s="1"/>
  <c r="E60" s="1"/>
  <c r="E26" i="47"/>
  <c r="G25"/>
  <c r="F26" l="1"/>
  <c r="K26"/>
  <c r="J26"/>
  <c r="F13" i="67"/>
  <c r="E25" i="47"/>
  <c r="D13" i="67" l="1"/>
  <c r="E13" s="1"/>
  <c r="F15" i="26"/>
  <c r="F25" i="47"/>
  <c r="K25"/>
  <c r="J25"/>
  <c r="E45" i="86" l="1"/>
  <c r="G44" i="47" l="1"/>
  <c r="G44" i="86"/>
  <c r="E44" i="47" l="1"/>
  <c r="K44" l="1"/>
  <c r="F44"/>
  <c r="J44"/>
  <c r="E72" i="86" l="1"/>
  <c r="E53"/>
  <c r="E60"/>
  <c r="E70"/>
  <c r="E40"/>
  <c r="E33"/>
  <c r="E21"/>
  <c r="E68"/>
  <c r="E67"/>
  <c r="E65"/>
  <c r="E59"/>
  <c r="G58" i="47" s="1"/>
  <c r="E58" s="1"/>
  <c r="E58" i="86"/>
  <c r="E57"/>
  <c r="E56"/>
  <c r="E24"/>
  <c r="E16"/>
  <c r="E37"/>
  <c r="E36"/>
  <c r="E23"/>
  <c r="E46" l="1"/>
  <c r="G45" s="1"/>
  <c r="E38"/>
  <c r="G38" s="1"/>
  <c r="G56" i="47"/>
  <c r="E56" s="1"/>
  <c r="G56" i="86"/>
  <c r="G20" i="47"/>
  <c r="E20" s="1"/>
  <c r="G21" i="86"/>
  <c r="G59" i="47"/>
  <c r="E59" s="1"/>
  <c r="G59" i="86"/>
  <c r="E20"/>
  <c r="E35"/>
  <c r="E43"/>
  <c r="G42" i="47" s="1"/>
  <c r="E42" s="1"/>
  <c r="E54" i="86"/>
  <c r="G45" i="47"/>
  <c r="E45" s="1"/>
  <c r="G37" i="86"/>
  <c r="G36" i="47"/>
  <c r="E36" s="1"/>
  <c r="G64"/>
  <c r="G64" i="86"/>
  <c r="E64"/>
  <c r="G39" i="47"/>
  <c r="G40" i="86"/>
  <c r="E19"/>
  <c r="G36"/>
  <c r="G35" i="47"/>
  <c r="E35" s="1"/>
  <c r="G15"/>
  <c r="E15" s="1"/>
  <c r="G16" i="86"/>
  <c r="G23" i="47"/>
  <c r="E23" s="1"/>
  <c r="G24" i="86"/>
  <c r="G55"/>
  <c r="G55" i="47"/>
  <c r="E55" i="86"/>
  <c r="G54" s="1"/>
  <c r="G57" i="47"/>
  <c r="E57" s="1"/>
  <c r="G57" i="86"/>
  <c r="G66" i="47"/>
  <c r="E66" i="86"/>
  <c r="G65" s="1"/>
  <c r="G67" i="47"/>
  <c r="E67" s="1"/>
  <c r="G67" i="86"/>
  <c r="G22" i="47"/>
  <c r="E22" i="86"/>
  <c r="G22" s="1"/>
  <c r="G23"/>
  <c r="K58" i="47"/>
  <c r="F58"/>
  <c r="J58"/>
  <c r="G32"/>
  <c r="E31" i="86"/>
  <c r="G31" s="1"/>
  <c r="G33"/>
  <c r="G69" i="47"/>
  <c r="G69" i="86"/>
  <c r="E69"/>
  <c r="G68" s="1"/>
  <c r="G71" i="47"/>
  <c r="E71" i="86"/>
  <c r="G70" s="1"/>
  <c r="G71"/>
  <c r="E15"/>
  <c r="G52" i="47"/>
  <c r="E52" i="86"/>
  <c r="G52"/>
  <c r="G37" i="47" l="1"/>
  <c r="E37" s="1"/>
  <c r="J37" s="1"/>
  <c r="F15"/>
  <c r="J15"/>
  <c r="K15"/>
  <c r="G18"/>
  <c r="E18" i="86"/>
  <c r="G18" s="1"/>
  <c r="G19"/>
  <c r="G63"/>
  <c r="E61"/>
  <c r="G60" s="1"/>
  <c r="J42" i="47"/>
  <c r="K42"/>
  <c r="F42"/>
  <c r="J59"/>
  <c r="K59"/>
  <c r="F59"/>
  <c r="K56"/>
  <c r="F56"/>
  <c r="J56"/>
  <c r="G51" i="86"/>
  <c r="E51"/>
  <c r="G50" s="1"/>
  <c r="J67" i="47"/>
  <c r="F67"/>
  <c r="K67"/>
  <c r="J57"/>
  <c r="F57"/>
  <c r="K57"/>
  <c r="E39"/>
  <c r="G38"/>
  <c r="F36"/>
  <c r="K36"/>
  <c r="J36"/>
  <c r="G53"/>
  <c r="E53" s="1"/>
  <c r="G53" i="86"/>
  <c r="E52" i="47"/>
  <c r="E32"/>
  <c r="G30"/>
  <c r="K23"/>
  <c r="F23"/>
  <c r="J23"/>
  <c r="E64"/>
  <c r="G63"/>
  <c r="J45"/>
  <c r="K45"/>
  <c r="F45"/>
  <c r="G19"/>
  <c r="E19" s="1"/>
  <c r="G20" i="86"/>
  <c r="K20" i="47"/>
  <c r="J20"/>
  <c r="F20"/>
  <c r="G68"/>
  <c r="E69"/>
  <c r="G14"/>
  <c r="E14" i="86"/>
  <c r="G15"/>
  <c r="G70" i="47"/>
  <c r="E71"/>
  <c r="E22"/>
  <c r="G21"/>
  <c r="E66"/>
  <c r="G65"/>
  <c r="G54"/>
  <c r="E55"/>
  <c r="J35"/>
  <c r="K35"/>
  <c r="F35"/>
  <c r="G34"/>
  <c r="G35" i="86"/>
  <c r="E34"/>
  <c r="G34" s="1"/>
  <c r="E39"/>
  <c r="G39" s="1"/>
  <c r="K37" i="47" l="1"/>
  <c r="F37"/>
  <c r="E14"/>
  <c r="G13"/>
  <c r="J64"/>
  <c r="K64"/>
  <c r="F64"/>
  <c r="E18"/>
  <c r="G17"/>
  <c r="E34"/>
  <c r="G33"/>
  <c r="J55"/>
  <c r="K55"/>
  <c r="F55"/>
  <c r="F12" i="67"/>
  <c r="E21" i="47"/>
  <c r="E68"/>
  <c r="F25" i="67"/>
  <c r="F39" i="47"/>
  <c r="J39"/>
  <c r="K39"/>
  <c r="G51"/>
  <c r="F24" i="67"/>
  <c r="E65" i="47"/>
  <c r="J66"/>
  <c r="K66"/>
  <c r="F66"/>
  <c r="F26" i="67"/>
  <c r="E70" i="47"/>
  <c r="J69"/>
  <c r="F69"/>
  <c r="K69"/>
  <c r="F32"/>
  <c r="J32"/>
  <c r="K32"/>
  <c r="K53"/>
  <c r="F53"/>
  <c r="J53"/>
  <c r="F16" i="67"/>
  <c r="E38" i="47"/>
  <c r="K71"/>
  <c r="F71"/>
  <c r="J71"/>
  <c r="F14" i="67"/>
  <c r="E30" i="47"/>
  <c r="F20" i="67"/>
  <c r="E54" i="47"/>
  <c r="K22"/>
  <c r="J22"/>
  <c r="F22"/>
  <c r="G14" i="86"/>
  <c r="E9"/>
  <c r="K19" i="47"/>
  <c r="J19"/>
  <c r="F19"/>
  <c r="F23" i="67"/>
  <c r="F25" i="26" s="1"/>
  <c r="E63" i="47"/>
  <c r="G60"/>
  <c r="E60" s="1"/>
  <c r="J52"/>
  <c r="K52"/>
  <c r="F52"/>
  <c r="D20" i="67" l="1"/>
  <c r="E20" s="1"/>
  <c r="F22" i="26"/>
  <c r="D25" i="67"/>
  <c r="E25" s="1"/>
  <c r="F27" i="26"/>
  <c r="D16" i="67"/>
  <c r="E16" s="1"/>
  <c r="F18" i="26"/>
  <c r="D24" i="67"/>
  <c r="E24" s="1"/>
  <c r="F26" i="26"/>
  <c r="D12" i="67"/>
  <c r="E12" s="1"/>
  <c r="F14" i="26"/>
  <c r="D14" i="67"/>
  <c r="E14" s="1"/>
  <c r="F16" i="26"/>
  <c r="D26" i="67"/>
  <c r="E26" s="1"/>
  <c r="F28" i="26"/>
  <c r="F23" s="1"/>
  <c r="J63" i="47"/>
  <c r="F63"/>
  <c r="K63"/>
  <c r="J54"/>
  <c r="K54"/>
  <c r="F54"/>
  <c r="F15" i="67"/>
  <c r="E33" i="47"/>
  <c r="F14"/>
  <c r="J14"/>
  <c r="K14"/>
  <c r="D23" i="67"/>
  <c r="E23" s="1"/>
  <c r="F21"/>
  <c r="D21" s="1"/>
  <c r="E21" s="1"/>
  <c r="E8" i="86"/>
  <c r="G9"/>
  <c r="F38" i="47"/>
  <c r="J38"/>
  <c r="K38"/>
  <c r="K65"/>
  <c r="J65"/>
  <c r="F65"/>
  <c r="F21"/>
  <c r="J21"/>
  <c r="K21"/>
  <c r="F18"/>
  <c r="J18"/>
  <c r="K18"/>
  <c r="F10" i="67"/>
  <c r="F12" i="26" s="1"/>
  <c r="E13" i="47"/>
  <c r="G8"/>
  <c r="J70"/>
  <c r="K70"/>
  <c r="F70"/>
  <c r="F11" i="67"/>
  <c r="E17" i="47"/>
  <c r="K30"/>
  <c r="J30"/>
  <c r="F30"/>
  <c r="K68"/>
  <c r="F68"/>
  <c r="J68"/>
  <c r="J60"/>
  <c r="K60"/>
  <c r="F60"/>
  <c r="F19" i="67"/>
  <c r="F21" i="26" s="1"/>
  <c r="E51" i="47"/>
  <c r="G50"/>
  <c r="E50" s="1"/>
  <c r="J34"/>
  <c r="K34"/>
  <c r="F34"/>
  <c r="D11" i="67" l="1"/>
  <c r="E11" s="1"/>
  <c r="F13" i="26"/>
  <c r="F10" s="1"/>
  <c r="D15" i="67"/>
  <c r="E15" s="1"/>
  <c r="F17" i="26"/>
  <c r="F20"/>
  <c r="F50" i="47"/>
  <c r="J50"/>
  <c r="K50"/>
  <c r="D19" i="67"/>
  <c r="E19" s="1"/>
  <c r="F18"/>
  <c r="D18" s="1"/>
  <c r="E18" s="1"/>
  <c r="J13" i="47"/>
  <c r="K13"/>
  <c r="F13"/>
  <c r="J51"/>
  <c r="K51"/>
  <c r="F51"/>
  <c r="E8"/>
  <c r="G97"/>
  <c r="E97" s="1"/>
  <c r="G8" i="86"/>
  <c r="E95"/>
  <c r="E93"/>
  <c r="K17" i="47"/>
  <c r="F17"/>
  <c r="J17"/>
  <c r="D10" i="67"/>
  <c r="E10" s="1"/>
  <c r="F8"/>
  <c r="J33" i="47"/>
  <c r="F33"/>
  <c r="K33"/>
  <c r="F9" i="26" l="1"/>
  <c r="F8" s="1"/>
  <c r="E8" s="1"/>
  <c r="F44" i="67"/>
  <c r="D44" s="1"/>
  <c r="D8"/>
  <c r="E8" s="1"/>
  <c r="K97" i="47"/>
  <c r="J97"/>
  <c r="F97"/>
  <c r="K8"/>
  <c r="J8"/>
  <c r="F8"/>
  <c r="F51" i="26" l="1"/>
  <c r="B8" i="33"/>
  <c r="B69" s="1"/>
</calcChain>
</file>

<file path=xl/comments1.xml><?xml version="1.0" encoding="utf-8"?>
<comments xmlns="http://schemas.openxmlformats.org/spreadsheetml/2006/main">
  <authors>
    <author>000618</author>
  </authors>
  <commentList>
    <comment ref="C13"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4"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3</t>
        </r>
        <r>
          <rPr>
            <sz val="9"/>
            <color indexed="81"/>
            <rFont val="細明體"/>
            <family val="3"/>
            <charset val="136"/>
          </rPr>
          <t>月折舊數估計至年底累折</t>
        </r>
      </text>
    </comment>
    <comment ref="E24" authorId="0">
      <text>
        <r>
          <rPr>
            <b/>
            <sz val="9"/>
            <color indexed="81"/>
            <rFont val="Tahoma"/>
            <family val="2"/>
          </rPr>
          <t>000618:</t>
        </r>
        <r>
          <rPr>
            <sz val="9"/>
            <color indexed="81"/>
            <rFont val="Tahoma"/>
            <family val="2"/>
          </rPr>
          <t xml:space="preserve">
</t>
        </r>
        <r>
          <rPr>
            <sz val="9"/>
            <color indexed="81"/>
            <rFont val="細明體"/>
            <family val="3"/>
            <charset val="136"/>
          </rPr>
          <t>依</t>
        </r>
        <r>
          <rPr>
            <sz val="9"/>
            <color indexed="81"/>
            <rFont val="Tahoma"/>
            <family val="2"/>
          </rPr>
          <t>106/3</t>
        </r>
        <r>
          <rPr>
            <sz val="9"/>
            <color indexed="81"/>
            <rFont val="細明體"/>
            <family val="3"/>
            <charset val="136"/>
          </rPr>
          <t>折舊費用估算</t>
        </r>
      </text>
    </comment>
    <comment ref="C41" authorId="0">
      <text>
        <r>
          <rPr>
            <b/>
            <sz val="9"/>
            <color indexed="81"/>
            <rFont val="Tahoma"/>
            <family val="2"/>
          </rPr>
          <t>000618:</t>
        </r>
        <r>
          <rPr>
            <sz val="9"/>
            <color indexed="81"/>
            <rFont val="Tahoma"/>
            <family val="2"/>
          </rPr>
          <t xml:space="preserve">
2</t>
        </r>
        <r>
          <rPr>
            <sz val="9"/>
            <color indexed="81"/>
            <rFont val="細明體"/>
            <family val="3"/>
            <charset val="136"/>
          </rPr>
          <t>年決算平均-106/3沖轉數</t>
        </r>
      </text>
    </comment>
    <comment ref="D41" authorId="0">
      <text>
        <r>
          <rPr>
            <b/>
            <sz val="9"/>
            <color indexed="81"/>
            <rFont val="Tahoma"/>
            <family val="2"/>
          </rPr>
          <t>000618:</t>
        </r>
        <r>
          <rPr>
            <sz val="9"/>
            <color indexed="81"/>
            <rFont val="Tahoma"/>
            <family val="2"/>
          </rPr>
          <t xml:space="preserve">
</t>
        </r>
        <r>
          <rPr>
            <sz val="9"/>
            <color indexed="81"/>
            <rFont val="細明體"/>
            <family val="3"/>
            <charset val="136"/>
          </rPr>
          <t>減</t>
        </r>
        <r>
          <rPr>
            <sz val="9"/>
            <color indexed="81"/>
            <rFont val="Tahoma"/>
            <family val="2"/>
          </rPr>
          <t>106/3</t>
        </r>
        <r>
          <rPr>
            <sz val="9"/>
            <color indexed="81"/>
            <rFont val="細明體"/>
            <family val="3"/>
            <charset val="136"/>
          </rPr>
          <t>沖轉數13809千元</t>
        </r>
      </text>
    </comment>
  </commentList>
</comments>
</file>

<file path=xl/comments2.xml><?xml version="1.0" encoding="utf-8"?>
<comments xmlns="http://schemas.openxmlformats.org/spreadsheetml/2006/main">
  <authors>
    <author>000618</author>
  </authors>
  <commentList>
    <comment ref="C11"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3"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4</t>
        </r>
        <r>
          <rPr>
            <sz val="9"/>
            <color indexed="81"/>
            <rFont val="細明體"/>
            <family val="3"/>
            <charset val="136"/>
          </rPr>
          <t>月折舊數估計至年底累折</t>
        </r>
      </text>
    </comment>
  </commentList>
</comments>
</file>

<file path=xl/comments3.xml><?xml version="1.0" encoding="utf-8"?>
<comments xmlns="http://schemas.openxmlformats.org/spreadsheetml/2006/main">
  <authors>
    <author>000618</author>
  </authors>
  <commentList>
    <comment ref="K36" authorId="0">
      <text>
        <r>
          <rPr>
            <b/>
            <sz val="9"/>
            <color indexed="81"/>
            <rFont val="Tahoma"/>
            <family val="2"/>
          </rPr>
          <t>000618:</t>
        </r>
        <r>
          <rPr>
            <sz val="9"/>
            <color indexed="81"/>
            <rFont val="Tahoma"/>
            <family val="2"/>
          </rPr>
          <t xml:space="preserve">
</t>
        </r>
        <r>
          <rPr>
            <sz val="9"/>
            <color indexed="81"/>
            <rFont val="細明體"/>
            <family val="3"/>
            <charset val="136"/>
          </rPr>
          <t>資安健診1279千元
矮櫃包板1800千元</t>
        </r>
      </text>
    </comment>
    <comment ref="J45" authorId="0">
      <text>
        <r>
          <rPr>
            <b/>
            <sz val="9"/>
            <color indexed="81"/>
            <rFont val="Tahoma"/>
            <family val="2"/>
          </rPr>
          <t>000618:</t>
        </r>
        <r>
          <rPr>
            <sz val="9"/>
            <color indexed="81"/>
            <rFont val="Tahoma"/>
            <family val="2"/>
          </rPr>
          <t xml:space="preserve">
</t>
        </r>
        <r>
          <rPr>
            <sz val="9"/>
            <color indexed="81"/>
            <rFont val="細明體"/>
            <family val="3"/>
            <charset val="136"/>
          </rPr>
          <t>題庫支出增加
報名人數增加</t>
        </r>
      </text>
    </comment>
    <comment ref="K55" authorId="0">
      <text>
        <r>
          <rPr>
            <b/>
            <sz val="9"/>
            <color indexed="81"/>
            <rFont val="Tahoma"/>
            <family val="2"/>
          </rPr>
          <t>000618:</t>
        </r>
        <r>
          <rPr>
            <sz val="9"/>
            <color indexed="81"/>
            <rFont val="Tahoma"/>
            <family val="2"/>
          </rPr>
          <t xml:space="preserve">
</t>
        </r>
        <r>
          <rPr>
            <sz val="9"/>
            <color indexed="81"/>
            <rFont val="細明體"/>
            <family val="3"/>
            <charset val="136"/>
          </rPr>
          <t>液晶螢幕1415千元
應考人休息區桌椅4507千元</t>
        </r>
      </text>
    </comment>
  </commentList>
</comments>
</file>

<file path=xl/sharedStrings.xml><?xml version="1.0" encoding="utf-8"?>
<sst xmlns="http://schemas.openxmlformats.org/spreadsheetml/2006/main" count="1519" uniqueCount="1159">
  <si>
    <t xml:space="preserve">  一般服務費</t>
    <phoneticPr fontId="2" type="noConversion"/>
  </si>
  <si>
    <r>
      <t xml:space="preserve">       </t>
    </r>
    <r>
      <rPr>
        <sz val="11"/>
        <color indexed="8"/>
        <rFont val="標楷體"/>
        <family val="4"/>
        <charset val="136"/>
      </rPr>
      <t>佣金、匯費、經理費及手續費</t>
    </r>
    <phoneticPr fontId="2" type="noConversion"/>
  </si>
  <si>
    <r>
      <t xml:space="preserve">       </t>
    </r>
    <r>
      <rPr>
        <sz val="11"/>
        <color indexed="8"/>
        <rFont val="標楷體"/>
        <family val="4"/>
        <charset val="136"/>
      </rPr>
      <t>外包費</t>
    </r>
    <phoneticPr fontId="2" type="noConversion"/>
  </si>
  <si>
    <r>
      <t xml:space="preserve">       </t>
    </r>
    <r>
      <rPr>
        <sz val="11"/>
        <color indexed="8"/>
        <rFont val="標楷體"/>
        <family val="4"/>
        <charset val="136"/>
      </rPr>
      <t>計時與計件人員酬金</t>
    </r>
    <phoneticPr fontId="2" type="noConversion"/>
  </si>
  <si>
    <r>
      <t xml:space="preserve">    </t>
    </r>
    <r>
      <rPr>
        <sz val="12"/>
        <color indexed="8"/>
        <rFont val="標楷體"/>
        <family val="4"/>
        <charset val="136"/>
      </rPr>
      <t>專業服務費</t>
    </r>
    <phoneticPr fontId="2" type="noConversion"/>
  </si>
  <si>
    <r>
      <t xml:space="preserve">        </t>
    </r>
    <r>
      <rPr>
        <sz val="11"/>
        <color indexed="8"/>
        <rFont val="標楷體"/>
        <family val="4"/>
        <charset val="136"/>
      </rPr>
      <t>講課鐘點、稿費、出席審查及查詢費</t>
    </r>
    <phoneticPr fontId="2" type="noConversion"/>
  </si>
  <si>
    <t>材料及用品費</t>
    <phoneticPr fontId="2" type="noConversion"/>
  </si>
  <si>
    <r>
      <t xml:space="preserve">    </t>
    </r>
    <r>
      <rPr>
        <sz val="12"/>
        <color indexed="8"/>
        <rFont val="標楷體"/>
        <family val="4"/>
        <charset val="136"/>
      </rPr>
      <t>使用材料費</t>
    </r>
    <phoneticPr fontId="2" type="noConversion"/>
  </si>
  <si>
    <r>
      <t xml:space="preserve">        </t>
    </r>
    <r>
      <rPr>
        <sz val="11"/>
        <color indexed="8"/>
        <rFont val="標楷體"/>
        <family val="4"/>
        <charset val="136"/>
      </rPr>
      <t>物料</t>
    </r>
    <phoneticPr fontId="2" type="noConversion"/>
  </si>
  <si>
    <r>
      <t xml:space="preserve">        </t>
    </r>
    <r>
      <rPr>
        <sz val="11"/>
        <color indexed="8"/>
        <rFont val="標楷體"/>
        <family val="4"/>
        <charset val="136"/>
      </rPr>
      <t>燃料</t>
    </r>
    <phoneticPr fontId="2" type="noConversion"/>
  </si>
  <si>
    <t xml:space="preserve">  用品消耗</t>
    <phoneticPr fontId="2" type="noConversion"/>
  </si>
  <si>
    <t xml:space="preserve">    食品</t>
    <phoneticPr fontId="2" type="noConversion"/>
  </si>
  <si>
    <r>
      <t xml:space="preserve">        </t>
    </r>
    <r>
      <rPr>
        <sz val="11"/>
        <color indexed="8"/>
        <rFont val="標楷體"/>
        <family val="4"/>
        <charset val="136"/>
      </rPr>
      <t>其他</t>
    </r>
    <phoneticPr fontId="2" type="noConversion"/>
  </si>
  <si>
    <t>租金與利息</t>
    <phoneticPr fontId="2" type="noConversion"/>
  </si>
  <si>
    <r>
      <t xml:space="preserve">        </t>
    </r>
    <r>
      <rPr>
        <sz val="11"/>
        <color indexed="8"/>
        <rFont val="標楷體"/>
        <family val="4"/>
        <charset val="136"/>
      </rPr>
      <t>一般房屋租金</t>
    </r>
    <phoneticPr fontId="2" type="noConversion"/>
  </si>
  <si>
    <r>
      <t xml:space="preserve">         </t>
    </r>
    <r>
      <rPr>
        <sz val="11"/>
        <color indexed="8"/>
        <rFont val="標楷體"/>
        <family val="4"/>
        <charset val="136"/>
      </rPr>
      <t>車租</t>
    </r>
    <phoneticPr fontId="2" type="noConversion"/>
  </si>
  <si>
    <r>
      <t xml:space="preserve">     </t>
    </r>
    <r>
      <rPr>
        <sz val="12"/>
        <color indexed="8"/>
        <rFont val="標楷體"/>
        <family val="4"/>
        <charset val="136"/>
      </rPr>
      <t>什項設備租金</t>
    </r>
    <phoneticPr fontId="2" type="noConversion"/>
  </si>
  <si>
    <r>
      <t xml:space="preserve">         </t>
    </r>
    <r>
      <rPr>
        <sz val="11"/>
        <color indexed="8"/>
        <rFont val="標楷體"/>
        <family val="4"/>
        <charset val="136"/>
      </rPr>
      <t>什項設備租金</t>
    </r>
    <phoneticPr fontId="2" type="noConversion"/>
  </si>
  <si>
    <r>
      <t>合</t>
    </r>
    <r>
      <rPr>
        <sz val="12"/>
        <color indexed="8"/>
        <rFont val="Times New Roman"/>
        <family val="1"/>
      </rPr>
      <t xml:space="preserve">           </t>
    </r>
    <r>
      <rPr>
        <sz val="12"/>
        <color indexed="8"/>
        <rFont val="標楷體"/>
        <family val="4"/>
        <charset val="136"/>
      </rPr>
      <t>計</t>
    </r>
    <phoneticPr fontId="2" type="noConversion"/>
  </si>
  <si>
    <t>其他業務成本明細表</t>
    <phoneticPr fontId="2" type="noConversion"/>
  </si>
  <si>
    <t>雜項業務成本</t>
    <phoneticPr fontId="2" type="noConversion"/>
  </si>
  <si>
    <r>
      <t xml:space="preserve">    </t>
    </r>
    <r>
      <rPr>
        <sz val="12"/>
        <color indexed="8"/>
        <rFont val="標楷體"/>
        <family val="4"/>
        <charset val="136"/>
      </rPr>
      <t>消費與行為稅</t>
    </r>
    <phoneticPr fontId="2" type="noConversion"/>
  </si>
  <si>
    <r>
      <t xml:space="preserve">        </t>
    </r>
    <r>
      <rPr>
        <sz val="11"/>
        <color indexed="8"/>
        <rFont val="標楷體"/>
        <family val="4"/>
        <charset val="136"/>
      </rPr>
      <t>營業稅</t>
    </r>
    <phoneticPr fontId="2" type="noConversion"/>
  </si>
  <si>
    <t xml:space="preserve">      消費與行為稅</t>
    <phoneticPr fontId="2" type="noConversion"/>
  </si>
  <si>
    <r>
      <t xml:space="preserve">    </t>
    </r>
    <r>
      <rPr>
        <sz val="12"/>
        <color indexed="8"/>
        <rFont val="標楷體"/>
        <family val="4"/>
        <charset val="136"/>
      </rPr>
      <t>房租</t>
    </r>
    <phoneticPr fontId="2" type="noConversion"/>
  </si>
  <si>
    <t xml:space="preserve">      房租</t>
    <phoneticPr fontId="2" type="noConversion"/>
  </si>
  <si>
    <t xml:space="preserve">      交通及運輸設備租金</t>
    <phoneticPr fontId="2" type="noConversion"/>
  </si>
  <si>
    <t>　一般服務費</t>
    <phoneticPr fontId="2" type="noConversion"/>
  </si>
  <si>
    <t>　　交通及運輸設備折舊</t>
    <phoneticPr fontId="2" type="noConversion"/>
  </si>
  <si>
    <t>　　什項設備折舊</t>
    <phoneticPr fontId="2" type="noConversion"/>
  </si>
  <si>
    <t>　房屋稅</t>
    <phoneticPr fontId="2" type="noConversion"/>
  </si>
  <si>
    <t>　水電費</t>
    <phoneticPr fontId="2" type="noConversion"/>
  </si>
  <si>
    <t>　　工作場所電費</t>
    <phoneticPr fontId="2" type="noConversion"/>
  </si>
  <si>
    <t>　　工作場所水費</t>
    <phoneticPr fontId="2" type="noConversion"/>
  </si>
  <si>
    <t>　　印刷及裝訂費</t>
    <phoneticPr fontId="2" type="noConversion"/>
  </si>
  <si>
    <t>　修理保養及保固費</t>
    <phoneticPr fontId="2" type="noConversion"/>
  </si>
  <si>
    <t>　　一般房屋修護費</t>
    <phoneticPr fontId="2" type="noConversion"/>
  </si>
  <si>
    <t>　　機械及設備修護費</t>
    <phoneticPr fontId="2" type="noConversion"/>
  </si>
  <si>
    <t>　　什項設備修護費</t>
    <phoneticPr fontId="2" type="noConversion"/>
  </si>
  <si>
    <t>　　佣金、匯費、經理費及手續費</t>
    <phoneticPr fontId="2" type="noConversion"/>
  </si>
  <si>
    <t>　　外包費</t>
    <phoneticPr fontId="2" type="noConversion"/>
  </si>
  <si>
    <t>　用品消耗</t>
    <phoneticPr fontId="2" type="noConversion"/>
  </si>
  <si>
    <t>　　辦公（事務）用品</t>
    <phoneticPr fontId="2" type="noConversion"/>
  </si>
  <si>
    <t>　交通及運輸設備折舊</t>
    <phoneticPr fontId="2" type="noConversion"/>
  </si>
  <si>
    <t>　什項設備折舊</t>
    <phoneticPr fontId="2" type="noConversion"/>
  </si>
  <si>
    <t>　　一般房屋稅</t>
    <phoneticPr fontId="2" type="noConversion"/>
  </si>
  <si>
    <t xml:space="preserve">    材料及用品費</t>
    <phoneticPr fontId="2" type="noConversion"/>
  </si>
  <si>
    <t xml:space="preserve">      用品消耗</t>
    <phoneticPr fontId="2" type="noConversion"/>
  </si>
  <si>
    <t xml:space="preserve">  地租及水租</t>
    <phoneticPr fontId="2" type="noConversion"/>
  </si>
  <si>
    <t xml:space="preserve">    場地租金</t>
    <phoneticPr fontId="2" type="noConversion"/>
  </si>
  <si>
    <t xml:space="preserve">  消費與行為稅</t>
    <phoneticPr fontId="2" type="noConversion"/>
  </si>
  <si>
    <t>其他</t>
    <phoneticPr fontId="2" type="noConversion"/>
  </si>
  <si>
    <t xml:space="preserve">  其他費用</t>
    <phoneticPr fontId="2" type="noConversion"/>
  </si>
  <si>
    <t xml:space="preserve">    其他</t>
    <phoneticPr fontId="2" type="noConversion"/>
  </si>
  <si>
    <t xml:space="preserve">    交通及運輸設備修護費</t>
    <phoneticPr fontId="2" type="noConversion"/>
  </si>
  <si>
    <t xml:space="preserve">    責任保險費</t>
    <phoneticPr fontId="2" type="noConversion"/>
  </si>
  <si>
    <t>本年度預算數</t>
    <phoneticPr fontId="14" type="noConversion"/>
  </si>
  <si>
    <t>上年度預算數</t>
    <phoneticPr fontId="14" type="noConversion"/>
  </si>
  <si>
    <t>科　　　　　目</t>
    <phoneticPr fontId="2" type="noConversion"/>
  </si>
  <si>
    <t>分年性項目</t>
    <phoneticPr fontId="14" type="noConversion"/>
  </si>
  <si>
    <t>一次性項目</t>
    <phoneticPr fontId="14" type="noConversion"/>
  </si>
  <si>
    <t>前年度
決算數</t>
    <phoneticPr fontId="2"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</si>
  <si>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</si>
  <si>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</si>
  <si>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</si>
  <si>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</si>
  <si>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</si>
  <si>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</si>
  <si>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</si>
  <si>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</si>
  <si>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</si>
  <si>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</si>
  <si>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</si>
  <si>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</si>
  <si>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</si>
  <si>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4" type="noConversion"/>
  </si>
  <si>
    <t>考選業務基金</t>
    <phoneticPr fontId="14" type="noConversion"/>
  </si>
  <si>
    <t>其他業務成本</t>
    <phoneticPr fontId="2" type="noConversion"/>
  </si>
  <si>
    <t xml:space="preserve">    交通及運輸設備折舊</t>
    <phoneticPr fontId="2" type="noConversion"/>
  </si>
  <si>
    <t xml:space="preserve">    什項設備折舊</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</si>
  <si>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</si>
  <si>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</si>
  <si>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</si>
  <si>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</si>
  <si>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</si>
  <si>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</si>
  <si>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</si>
  <si>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房屋稅</t>
    <phoneticPr fontId="2" type="noConversion"/>
  </si>
  <si>
    <t>辦理公務人員考試、專門職業及技術人員考試等考試計畫。</t>
    <phoneticPr fontId="8"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</si>
  <si>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</si>
  <si>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</si>
  <si>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t>單位</t>
    <phoneticPr fontId="14" type="noConversion"/>
  </si>
  <si>
    <t>數量</t>
    <phoneticPr fontId="14" type="noConversion"/>
  </si>
  <si>
    <t xml:space="preserve">  郵電費</t>
    <phoneticPr fontId="2" type="noConversion"/>
  </si>
  <si>
    <t xml:space="preserve">    國內旅費</t>
    <phoneticPr fontId="2" type="noConversion"/>
  </si>
  <si>
    <t xml:space="preserve">  印刷裝訂與廣告費</t>
    <phoneticPr fontId="2" type="noConversion"/>
  </si>
  <si>
    <t xml:space="preserve">    印刷及裝訂費</t>
    <phoneticPr fontId="2" type="noConversion"/>
  </si>
  <si>
    <t>材料及用品費</t>
    <phoneticPr fontId="2" type="noConversion"/>
  </si>
  <si>
    <t xml:space="preserve">    公共關係費</t>
    <phoneticPr fontId="2" type="noConversion"/>
  </si>
  <si>
    <t xml:space="preserve">    機械及設備折舊</t>
    <phoneticPr fontId="2" type="noConversion"/>
  </si>
  <si>
    <t xml:space="preserve">  保險費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</si>
  <si>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</si>
  <si>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</si>
  <si>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</si>
  <si>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</si>
  <si>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試務甄選費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</si>
  <si>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</si>
  <si>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</si>
  <si>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</si>
  <si>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</si>
  <si>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其他</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</si>
  <si>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</si>
  <si>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</si>
  <si>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</si>
  <si>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</si>
  <si>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</si>
  <si>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</si>
  <si>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</si>
  <si>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</si>
  <si>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 xml:space="preserve">  攤銷</t>
    <phoneticPr fontId="2" type="noConversion"/>
  </si>
  <si>
    <t xml:space="preserve">    攤銷電腦軟體費</t>
    <phoneticPr fontId="2" type="noConversion"/>
  </si>
  <si>
    <t xml:space="preserve">  房屋稅</t>
    <phoneticPr fontId="2" type="noConversion"/>
  </si>
  <si>
    <t xml:space="preserve">    一般房屋稅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</si>
  <si>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</si>
  <si>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</si>
  <si>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</si>
  <si>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</si>
  <si>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4" type="noConversion"/>
  </si>
  <si>
    <t>　一次性項目</t>
    <phoneticPr fontId="14" type="noConversion"/>
  </si>
  <si>
    <t>雜項費用</t>
    <phoneticPr fontId="2" type="noConversion"/>
  </si>
  <si>
    <t>賸餘分配</t>
    <phoneticPr fontId="14" type="noConversion"/>
  </si>
  <si>
    <t>各項費用彙計表</t>
    <phoneticPr fontId="2" type="noConversion"/>
  </si>
  <si>
    <t>餘絀撥補預計表</t>
    <phoneticPr fontId="2" type="noConversion"/>
  </si>
  <si>
    <t>科目及業務計畫項目</t>
    <phoneticPr fontId="2" type="noConversion"/>
  </si>
  <si>
    <t>服務費用</t>
    <phoneticPr fontId="2" type="noConversion"/>
  </si>
  <si>
    <t>固定資產</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</si>
  <si>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</si>
  <si>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</si>
  <si>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</si>
  <si>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</si>
  <si>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</si>
  <si>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</si>
  <si>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</si>
  <si>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 xml:space="preserve">    工作場所電費</t>
    <phoneticPr fontId="2" type="noConversion"/>
  </si>
  <si>
    <t xml:space="preserve">    工作場所水費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</si>
  <si>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</si>
  <si>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</si>
  <si>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</si>
  <si>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</si>
  <si>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4" type="noConversion"/>
  </si>
  <si>
    <t>本年度預算數</t>
    <phoneticPr fontId="2" type="noConversion"/>
  </si>
  <si>
    <t xml:space="preserve"> </t>
    <phoneticPr fontId="14" type="noConversion"/>
  </si>
  <si>
    <t>上年度預算數</t>
    <phoneticPr fontId="2" type="noConversion"/>
  </si>
  <si>
    <t>折舊、折耗及攤銷</t>
    <phoneticPr fontId="2" type="noConversion"/>
  </si>
  <si>
    <t>資產折舊明細表</t>
    <phoneticPr fontId="14" type="noConversion"/>
  </si>
  <si>
    <t>機械及設備</t>
    <phoneticPr fontId="14" type="noConversion"/>
  </si>
  <si>
    <t>什項設備</t>
    <phoneticPr fontId="14" type="noConversion"/>
  </si>
  <si>
    <t>上年度預算數</t>
    <phoneticPr fontId="2" type="noConversion"/>
  </si>
  <si>
    <t>%</t>
    <phoneticPr fontId="2" type="noConversion"/>
  </si>
  <si>
    <t xml:space="preserve"> </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</si>
  <si>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</si>
  <si>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</si>
  <si>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</si>
  <si>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</si>
  <si>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 xml:space="preserve">    食品</t>
    <phoneticPr fontId="2" type="noConversion"/>
  </si>
  <si>
    <t xml:space="preserve">    銀行存款</t>
    <phoneticPr fontId="2" type="noConversion"/>
  </si>
  <si>
    <t>試務成本</t>
    <phoneticPr fontId="2" type="noConversion"/>
  </si>
  <si>
    <t>單位：新臺幣千元</t>
  </si>
  <si>
    <t>備註</t>
  </si>
  <si>
    <t>營運資金</t>
  </si>
  <si>
    <t>其他</t>
  </si>
  <si>
    <t xml:space="preserve">  現金</t>
    <phoneticPr fontId="2" type="noConversion"/>
  </si>
  <si>
    <t xml:space="preserve">  預付款項</t>
    <phoneticPr fontId="2" type="noConversion"/>
  </si>
  <si>
    <t xml:space="preserve">    預付費用</t>
    <phoneticPr fontId="2" type="noConversion"/>
  </si>
  <si>
    <t>無形資產</t>
    <phoneticPr fontId="5" type="noConversion"/>
  </si>
  <si>
    <t xml:space="preserve">  無形資產</t>
    <phoneticPr fontId="5" type="noConversion"/>
  </si>
  <si>
    <t xml:space="preserve">    電腦軟體</t>
    <phoneticPr fontId="5" type="noConversion"/>
  </si>
  <si>
    <t>流動負債</t>
    <phoneticPr fontId="2" type="noConversion"/>
  </si>
  <si>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</si>
  <si>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</si>
  <si>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</si>
  <si>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</si>
  <si>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</si>
  <si>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</si>
  <si>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</si>
  <si>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</si>
  <si>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</si>
  <si>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</si>
  <si>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</si>
  <si>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</si>
  <si>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</si>
  <si>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</si>
  <si>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</si>
  <si>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</si>
  <si>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</si>
  <si>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說  明</t>
  </si>
  <si>
    <t>合         計</t>
  </si>
  <si>
    <t>固定資產建設改良擴充明細表</t>
    <phoneticPr fontId="14" type="noConversion"/>
  </si>
  <si>
    <t>科目名稱</t>
  </si>
  <si>
    <t>項目名稱</t>
  </si>
  <si>
    <t>投資總額</t>
  </si>
  <si>
    <t>分年預算數</t>
  </si>
  <si>
    <t>本年度</t>
  </si>
  <si>
    <t>固定資產建設改良擴充資金來源明細表</t>
  </si>
  <si>
    <t>項　　　　　目</t>
  </si>
  <si>
    <t>自　　　　有　　　　資　　　　金</t>
  </si>
  <si>
    <t>合　　　計</t>
  </si>
  <si>
    <t>小　　　計</t>
  </si>
  <si>
    <t>％</t>
  </si>
  <si>
    <t>營運
資金</t>
    <phoneticPr fontId="14" type="noConversion"/>
  </si>
  <si>
    <t>金額</t>
    <phoneticPr fontId="14" type="noConversion"/>
  </si>
  <si>
    <t>其他</t>
    <phoneticPr fontId="14"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</si>
  <si>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4" type="noConversion"/>
  </si>
  <si>
    <t>目標能量</t>
  </si>
  <si>
    <t>截至本年度累計數</t>
  </si>
  <si>
    <t>計畫％</t>
  </si>
  <si>
    <t>外借
資金</t>
    <phoneticPr fontId="14" type="noConversion"/>
  </si>
  <si>
    <t>國庫
撥款</t>
    <phoneticPr fontId="14" type="noConversion"/>
  </si>
  <si>
    <t>　分年性項目</t>
    <phoneticPr fontId="14" type="noConversion"/>
  </si>
  <si>
    <t>勞務成本</t>
    <phoneticPr fontId="2" type="noConversion"/>
  </si>
  <si>
    <t>期  間</t>
  </si>
  <si>
    <t xml:space="preserve">  用品消耗</t>
    <phoneticPr fontId="2" type="noConversion"/>
  </si>
  <si>
    <t>租金與利息</t>
    <phoneticPr fontId="2" type="noConversion"/>
  </si>
  <si>
    <t>考選部</t>
    <phoneticPr fontId="14" type="noConversion"/>
  </si>
  <si>
    <t>考選部</t>
    <phoneticPr fontId="14" type="noConversion"/>
  </si>
  <si>
    <t>考選業務基金</t>
    <phoneticPr fontId="14" type="noConversion"/>
  </si>
  <si>
    <t>單位:新台幣千元</t>
    <phoneticPr fontId="14" type="noConversion"/>
  </si>
  <si>
    <t>項目</t>
    <phoneticPr fontId="14" type="noConversion"/>
  </si>
  <si>
    <t>本年度預算數</t>
    <phoneticPr fontId="14" type="noConversion"/>
  </si>
  <si>
    <t>說      明</t>
    <phoneticPr fontId="14" type="noConversion"/>
  </si>
  <si>
    <t>單位</t>
    <phoneticPr fontId="14" type="noConversion"/>
  </si>
  <si>
    <t>數量</t>
    <phoneticPr fontId="14" type="noConversion"/>
  </si>
  <si>
    <t>單價</t>
    <phoneticPr fontId="14" type="noConversion"/>
  </si>
  <si>
    <t>單項總價</t>
    <phoneticPr fontId="14" type="noConversion"/>
  </si>
  <si>
    <t>機械及設備</t>
    <phoneticPr fontId="14" type="noConversion"/>
  </si>
  <si>
    <t>式</t>
    <phoneticPr fontId="14" type="noConversion"/>
  </si>
  <si>
    <t>合計</t>
    <phoneticPr fontId="14" type="noConversion"/>
  </si>
  <si>
    <t>考選部</t>
    <phoneticPr fontId="2" type="noConversion"/>
  </si>
  <si>
    <t>考選業務基金</t>
    <phoneticPr fontId="2" type="noConversion"/>
  </si>
  <si>
    <t>單位：新臺幣千元</t>
    <phoneticPr fontId="2" type="noConversion"/>
  </si>
  <si>
    <t>單位：新臺幣千元</t>
    <phoneticPr fontId="14" type="noConversion"/>
  </si>
  <si>
    <r>
      <t>項</t>
    </r>
    <r>
      <rPr>
        <sz val="12"/>
        <color indexed="8"/>
        <rFont val="Times New Roman"/>
        <family val="1"/>
      </rPr>
      <t xml:space="preserve">                        </t>
    </r>
    <r>
      <rPr>
        <sz val="12"/>
        <color indexed="8"/>
        <rFont val="標楷體"/>
        <family val="4"/>
        <charset val="136"/>
      </rPr>
      <t>目</t>
    </r>
    <phoneticPr fontId="14"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</si>
  <si>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4"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</si>
  <si>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4" type="noConversion"/>
  </si>
  <si>
    <t>進度起迄年月</t>
    <phoneticPr fontId="14" type="noConversion"/>
  </si>
  <si>
    <t>資金
成本率（％）</t>
    <phoneticPr fontId="14" type="noConversion"/>
  </si>
  <si>
    <r>
      <t>現值
報酬率
（</t>
    </r>
    <r>
      <rPr>
        <sz val="12"/>
        <color indexed="8"/>
        <rFont val="Times New Roman"/>
        <family val="1"/>
      </rPr>
      <t>%</t>
    </r>
    <r>
      <rPr>
        <sz val="12"/>
        <color indexed="8"/>
        <rFont val="標楷體"/>
        <family val="4"/>
        <charset val="136"/>
      </rPr>
      <t>）</t>
    </r>
    <phoneticPr fontId="14"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</si>
  <si>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4"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</si>
  <si>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4" type="noConversion"/>
  </si>
  <si>
    <t>占全部
計畫％</t>
    <phoneticPr fontId="14" type="noConversion"/>
  </si>
  <si>
    <r>
      <t>出售不適</t>
    </r>
    <r>
      <rPr>
        <sz val="12"/>
        <color indexed="8"/>
        <rFont val="標楷體"/>
        <family val="4"/>
        <charset val="136"/>
      </rPr>
      <t>用資產</t>
    </r>
    <phoneticPr fontId="14" type="noConversion"/>
  </si>
  <si>
    <t>業務計畫及預算說明</t>
    <phoneticPr fontId="14"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</si>
  <si>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</si>
  <si>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</si>
  <si>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</si>
  <si>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4"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</si>
  <si>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4" type="noConversion"/>
  </si>
  <si>
    <t>交通及運輸設備</t>
    <phoneticPr fontId="2" type="noConversion"/>
  </si>
  <si>
    <r>
      <t>合</t>
    </r>
    <r>
      <rPr>
        <sz val="12"/>
        <rFont val="Times New Roman"/>
        <family val="1"/>
      </rPr>
      <t xml:space="preserve">          </t>
    </r>
    <r>
      <rPr>
        <sz val="12"/>
        <rFont val="標楷體"/>
        <family val="4"/>
        <charset val="136"/>
      </rPr>
      <t>計</t>
    </r>
    <phoneticPr fontId="14" type="noConversion"/>
  </si>
  <si>
    <t>合     計</t>
    <phoneticPr fontId="2" type="noConversion"/>
  </si>
  <si>
    <t>收入</t>
    <phoneticPr fontId="2" type="noConversion"/>
  </si>
  <si>
    <t>成本與費用及賸餘</t>
    <phoneticPr fontId="2" type="noConversion"/>
  </si>
  <si>
    <t>收入</t>
    <phoneticPr fontId="14" type="noConversion"/>
  </si>
  <si>
    <t>成本與費用及賸餘</t>
    <phoneticPr fontId="14" type="noConversion"/>
  </si>
  <si>
    <t xml:space="preserve">業務收入  </t>
    <phoneticPr fontId="14" type="noConversion"/>
  </si>
  <si>
    <t>業務成本與費用</t>
    <phoneticPr fontId="14" type="noConversion"/>
  </si>
  <si>
    <r>
      <t xml:space="preserve">  </t>
    </r>
    <r>
      <rPr>
        <sz val="12"/>
        <color indexed="8"/>
        <rFont val="標楷體"/>
        <family val="4"/>
        <charset val="136"/>
      </rPr>
      <t xml:space="preserve"> 勞務收入</t>
    </r>
    <phoneticPr fontId="14" type="noConversion"/>
  </si>
  <si>
    <r>
      <t xml:space="preserve">  </t>
    </r>
    <r>
      <rPr>
        <sz val="12"/>
        <color indexed="8"/>
        <rFont val="標楷體"/>
        <family val="4"/>
        <charset val="136"/>
      </rPr>
      <t xml:space="preserve"> 勞務成本</t>
    </r>
    <phoneticPr fontId="14" type="noConversion"/>
  </si>
  <si>
    <t xml:space="preserve">業務外收入  </t>
    <phoneticPr fontId="14" type="noConversion"/>
  </si>
  <si>
    <t>本期賸餘</t>
    <phoneticPr fontId="14" type="noConversion"/>
  </si>
  <si>
    <t xml:space="preserve"> 按 分 配 程 序 分</t>
    <phoneticPr fontId="2" type="noConversion"/>
  </si>
  <si>
    <t>按 所 得 對 象 分</t>
    <phoneticPr fontId="2" type="noConversion"/>
  </si>
  <si>
    <t>未分配賸餘</t>
    <phoneticPr fontId="2" type="noConversion"/>
  </si>
  <si>
    <t>留存非營業基金</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</si>
  <si>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</si>
  <si>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</si>
  <si>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4"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</si>
  <si>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</si>
  <si>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</si>
  <si>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</si>
  <si>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</si>
  <si>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</si>
  <si>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旅運費</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</si>
  <si>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</si>
  <si>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</si>
  <si>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</si>
  <si>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</si>
  <si>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</si>
  <si>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用品消耗</t>
    </r>
    <phoneticPr fontId="2" type="noConversion"/>
  </si>
  <si>
    <r>
      <t xml:space="preserve">  </t>
    </r>
    <r>
      <rPr>
        <b/>
        <sz val="12"/>
        <color indexed="8"/>
        <rFont val="標楷體"/>
        <family val="4"/>
        <charset val="136"/>
      </rPr>
      <t>租金與利息</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</si>
  <si>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</si>
  <si>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交通及運輸設備租金</t>
    </r>
    <phoneticPr fontId="2" type="noConversion"/>
  </si>
  <si>
    <r>
      <t xml:space="preserve">  </t>
    </r>
    <r>
      <rPr>
        <b/>
        <sz val="12"/>
        <color indexed="8"/>
        <rFont val="標楷體"/>
        <family val="4"/>
        <charset val="136"/>
      </rPr>
      <t>折舊、折耗及攤銷</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</si>
  <si>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</si>
  <si>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</si>
  <si>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</si>
  <si>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房租</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</si>
  <si>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</si>
  <si>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</si>
  <si>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</si>
  <si>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</si>
  <si>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單位:新台幣千元</t>
    <phoneticPr fontId="2" type="noConversion"/>
  </si>
  <si>
    <t>服務費用</t>
    <phoneticPr fontId="2" type="noConversion"/>
  </si>
  <si>
    <t xml:space="preserve">  修理保養及保固費</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</si>
  <si>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4"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</si>
  <si>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</si>
  <si>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</si>
  <si>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</si>
  <si>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</si>
  <si>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</si>
  <si>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</si>
  <si>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</si>
  <si>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　本期短絀</t>
  </si>
  <si>
    <t>　前期待填補之短絀</t>
  </si>
  <si>
    <t>填補之部</t>
  </si>
  <si>
    <t>　撥用賸餘</t>
  </si>
  <si>
    <t>　撥用公積</t>
  </si>
  <si>
    <t>　折減基金</t>
  </si>
  <si>
    <r>
      <t>項</t>
    </r>
    <r>
      <rPr>
        <sz val="12"/>
        <color indexed="8"/>
        <rFont val="Times New Roman"/>
        <family val="1"/>
      </rPr>
      <t xml:space="preserve">                                                                  </t>
    </r>
    <r>
      <rPr>
        <sz val="12"/>
        <color indexed="8"/>
        <rFont val="標楷體"/>
        <family val="4"/>
        <charset val="136"/>
      </rPr>
      <t>目</t>
    </r>
    <phoneticPr fontId="2" type="noConversion"/>
  </si>
  <si>
    <t xml:space="preserve">    流動資產淨減(淨增-)</t>
    <phoneticPr fontId="2" type="noConversion"/>
  </si>
  <si>
    <r>
      <t>註：本表係採現金及約當現金基礎，包括現金及自投資日起</t>
    </r>
    <r>
      <rPr>
        <sz val="12"/>
        <color indexed="8"/>
        <rFont val="Times New Roman"/>
        <family val="1"/>
      </rPr>
      <t>3</t>
    </r>
    <r>
      <rPr>
        <sz val="12"/>
        <color indexed="8"/>
        <rFont val="標楷體"/>
        <family val="4"/>
        <charset val="136"/>
      </rPr>
      <t>個月內到期或清償之債權證券。</t>
    </r>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</si>
  <si>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</si>
  <si>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</si>
  <si>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</si>
  <si>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</si>
  <si>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</si>
  <si>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</si>
  <si>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</si>
  <si>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</si>
  <si>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</si>
  <si>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</si>
  <si>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</si>
  <si>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</si>
  <si>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其他依法分配數</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</si>
  <si>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</si>
  <si>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r>
      <t>說</t>
    </r>
    <r>
      <rPr>
        <sz val="12"/>
        <color indexed="8"/>
        <rFont val="Times New Roman"/>
        <family val="1"/>
      </rPr>
      <t xml:space="preserve">                                         </t>
    </r>
    <r>
      <rPr>
        <sz val="12"/>
        <color indexed="8"/>
        <rFont val="標楷體"/>
        <family val="4"/>
        <charset val="136"/>
      </rPr>
      <t>明</t>
    </r>
    <phoneticPr fontId="2" type="noConversion"/>
  </si>
  <si>
    <t>業務活動之現金流量</t>
    <phoneticPr fontId="2" type="noConversion"/>
  </si>
  <si>
    <t xml:space="preserve">  本期賸餘(短絀-)</t>
    <phoneticPr fontId="2" type="noConversion"/>
  </si>
  <si>
    <t>現金及約當現金之淨增(淨減-)</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</si>
  <si>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</si>
  <si>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</si>
  <si>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</si>
  <si>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</si>
  <si>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 xml:space="preserve">    業務活動之淨現金流入(流出-)</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</si>
  <si>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</si>
  <si>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</si>
  <si>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</si>
  <si>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</si>
  <si>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</si>
  <si>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</si>
  <si>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</si>
  <si>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</si>
  <si>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</si>
  <si>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</si>
  <si>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</si>
  <si>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</si>
  <si>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</si>
  <si>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</si>
  <si>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</si>
  <si>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</si>
  <si>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</si>
  <si>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</si>
  <si>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</si>
  <si>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</si>
  <si>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</si>
  <si>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應付款項</t>
    <phoneticPr fontId="2" type="noConversion"/>
  </si>
  <si>
    <t xml:space="preserve">  預收款項</t>
    <phoneticPr fontId="2" type="noConversion"/>
  </si>
  <si>
    <t>比較增減(-)</t>
    <phoneticPr fontId="2" type="noConversion"/>
  </si>
  <si>
    <t>科                   目</t>
    <phoneticPr fontId="2" type="noConversion"/>
  </si>
  <si>
    <t>考選部</t>
    <phoneticPr fontId="8" type="noConversion"/>
  </si>
  <si>
    <t>考選業務基金</t>
    <phoneticPr fontId="8" type="noConversion"/>
  </si>
  <si>
    <t>5年來主要營運項目分析表</t>
    <phoneticPr fontId="2" type="noConversion"/>
  </si>
  <si>
    <r>
      <t>說</t>
    </r>
    <r>
      <rPr>
        <sz val="12"/>
        <rFont val="標楷體"/>
        <family val="4"/>
        <charset val="136"/>
      </rPr>
      <t>明</t>
    </r>
    <phoneticPr fontId="14" type="noConversion"/>
  </si>
  <si>
    <t>單位︰新臺幣千元</t>
    <phoneticPr fontId="14" type="noConversion"/>
  </si>
  <si>
    <t>以前年度
預算數</t>
    <phoneticPr fontId="14" type="noConversion"/>
  </si>
  <si>
    <t>本期賸餘</t>
    <phoneticPr fontId="2" type="noConversion"/>
  </si>
  <si>
    <t>單位成本(元)</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</si>
  <si>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</si>
  <si>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附</t>
    </r>
    <r>
      <rPr>
        <b/>
        <sz val="36"/>
        <rFont val="Times New Roman"/>
        <family val="1"/>
      </rPr>
      <t xml:space="preserve">          </t>
    </r>
    <r>
      <rPr>
        <b/>
        <sz val="36"/>
        <rFont val="標楷體"/>
        <family val="4"/>
        <charset val="136"/>
      </rPr>
      <t>錄</t>
    </r>
    <phoneticPr fontId="14"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</si>
  <si>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</si>
  <si>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4" type="noConversion"/>
  </si>
  <si>
    <t>國外
借款</t>
    <phoneticPr fontId="14" type="noConversion"/>
  </si>
  <si>
    <t>金額</t>
    <phoneticPr fontId="14" type="noConversion"/>
  </si>
  <si>
    <t>小　計</t>
    <phoneticPr fontId="14" type="noConversion"/>
  </si>
  <si>
    <r>
      <t xml:space="preserve">    </t>
    </r>
    <r>
      <rPr>
        <sz val="12"/>
        <color indexed="8"/>
        <rFont val="標楷體"/>
        <family val="4"/>
        <charset val="136"/>
      </rPr>
      <t>一次性項目</t>
    </r>
    <phoneticPr fontId="14" type="noConversion"/>
  </si>
  <si>
    <t xml:space="preserve">    </t>
    <phoneticPr fontId="14" type="noConversion"/>
  </si>
  <si>
    <t>中華民國</t>
    <phoneticPr fontId="14" type="noConversion"/>
  </si>
  <si>
    <r>
      <t>固定資產建設改良擴充</t>
    </r>
    <r>
      <rPr>
        <b/>
        <sz val="16"/>
        <color indexed="8"/>
        <rFont val="Times New Roman"/>
        <family val="1"/>
      </rPr>
      <t/>
    </r>
    <phoneticPr fontId="14" type="noConversion"/>
  </si>
  <si>
    <r>
      <t>考選業</t>
    </r>
    <r>
      <rPr>
        <u/>
        <sz val="16"/>
        <color indexed="8"/>
        <rFont val="Times New Roman"/>
        <family val="1"/>
      </rPr>
      <t/>
    </r>
    <phoneticPr fontId="14" type="noConversion"/>
  </si>
  <si>
    <r>
      <t>考選</t>
    </r>
    <r>
      <rPr>
        <u/>
        <sz val="18"/>
        <color indexed="8"/>
        <rFont val="Times New Roman"/>
        <family val="1"/>
      </rPr>
      <t/>
    </r>
    <phoneticPr fontId="14" type="noConversion"/>
  </si>
  <si>
    <t>部</t>
    <phoneticPr fontId="14" type="noConversion"/>
  </si>
  <si>
    <t>務基金</t>
    <phoneticPr fontId="14" type="noConversion"/>
  </si>
  <si>
    <t>計畫預期進度明細表</t>
    <phoneticPr fontId="14"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</si>
  <si>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4" type="noConversion"/>
  </si>
  <si>
    <t xml:space="preserve">    氣體費</t>
    <phoneticPr fontId="2" type="noConversion"/>
  </si>
  <si>
    <t xml:space="preserve">    郵費</t>
    <phoneticPr fontId="2" type="noConversion"/>
  </si>
  <si>
    <t xml:space="preserve">    電話費</t>
    <phoneticPr fontId="2" type="noConversion"/>
  </si>
  <si>
    <t xml:space="preserve">    數據通信費</t>
    <phoneticPr fontId="2" type="noConversion"/>
  </si>
  <si>
    <t xml:space="preserve">    貨物運費</t>
    <phoneticPr fontId="2" type="noConversion"/>
  </si>
  <si>
    <t xml:space="preserve">    其他旅運費</t>
    <phoneticPr fontId="2" type="noConversion"/>
  </si>
  <si>
    <t xml:space="preserve">    業務宣導費</t>
    <phoneticPr fontId="2" type="noConversion"/>
  </si>
  <si>
    <t xml:space="preserve">    一般房屋修護費</t>
    <phoneticPr fontId="2" type="noConversion"/>
  </si>
  <si>
    <t xml:space="preserve">    機械及設備修護費</t>
    <phoneticPr fontId="2" type="noConversion"/>
  </si>
  <si>
    <t xml:space="preserve">    什項設備修護費</t>
    <phoneticPr fontId="2" type="noConversion"/>
  </si>
  <si>
    <t xml:space="preserve">    現金、存款及貨物保險費</t>
    <phoneticPr fontId="2" type="noConversion"/>
  </si>
  <si>
    <t>合      計</t>
    <phoneticPr fontId="2"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</si>
  <si>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</si>
  <si>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</si>
  <si>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金額</t>
    <phoneticPr fontId="2" type="noConversion"/>
  </si>
  <si>
    <t>%</t>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</si>
  <si>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</si>
  <si>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</si>
  <si>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</si>
  <si>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其他業務成本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</si>
  <si>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</si>
  <si>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</si>
  <si>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</si>
  <si>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</si>
  <si>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</si>
  <si>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</si>
  <si>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</si>
  <si>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t>外　借　資　金</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</si>
  <si>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</si>
  <si>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</si>
  <si>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</si>
  <si>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前年度決算資產原值</t>
    <phoneticPr fontId="14" type="noConversion"/>
  </si>
  <si>
    <t>資產重估增值額</t>
    <phoneticPr fontId="14" type="noConversion"/>
  </si>
  <si>
    <t>本年度(12月底)止資產總額</t>
    <phoneticPr fontId="14" type="noConversion"/>
  </si>
  <si>
    <t>折舊方法</t>
    <phoneticPr fontId="14" type="noConversion"/>
  </si>
  <si>
    <t>折舊率</t>
    <phoneticPr fontId="14" type="noConversion"/>
  </si>
  <si>
    <t>本年度應提折舊額</t>
    <phoneticPr fontId="14" type="noConversion"/>
  </si>
  <si>
    <r>
      <t xml:space="preserve">    </t>
    </r>
    <r>
      <rPr>
        <sz val="12"/>
        <rFont val="標楷體"/>
        <family val="4"/>
        <charset val="136"/>
      </rPr>
      <t>勞務成本</t>
    </r>
    <phoneticPr fontId="14" type="noConversion"/>
  </si>
  <si>
    <t>直　線　法</t>
    <phoneticPr fontId="14" type="noConversion"/>
  </si>
  <si>
    <t>合  計</t>
    <phoneticPr fontId="14" type="noConversion"/>
  </si>
  <si>
    <t>資　　產</t>
    <phoneticPr fontId="2" type="noConversion"/>
  </si>
  <si>
    <t>負　　債</t>
    <phoneticPr fontId="2" type="noConversion"/>
  </si>
  <si>
    <t>收入</t>
  </si>
  <si>
    <t>收入合計</t>
  </si>
  <si>
    <t>以後
年度</t>
    <phoneticPr fontId="14" type="noConversion"/>
  </si>
  <si>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</si>
  <si>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</si>
  <si>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r>
      <t xml:space="preserve">  </t>
    </r>
    <r>
      <rPr>
        <sz val="12"/>
        <color indexed="8"/>
        <rFont val="標楷體"/>
        <family val="4"/>
        <charset val="136"/>
      </rPr>
      <t xml:space="preserve"> 財務收入</t>
    </r>
    <phoneticPr fontId="14" type="noConversion"/>
  </si>
  <si>
    <t>收入總額</t>
    <phoneticPr fontId="14" type="noConversion"/>
  </si>
  <si>
    <t>成本、費用及賸餘總額</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</si>
  <si>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</si>
  <si>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淨　　值</t>
    <phoneticPr fontId="2" type="noConversion"/>
  </si>
  <si>
    <t>資產合計</t>
    <phoneticPr fontId="2" type="noConversion"/>
  </si>
  <si>
    <t>考選部</t>
    <phoneticPr fontId="2" type="noConversion"/>
  </si>
  <si>
    <t>考選業務基金</t>
    <phoneticPr fontId="2" type="noConversion"/>
  </si>
  <si>
    <t>勞務收入明細表</t>
    <phoneticPr fontId="2" type="noConversion"/>
  </si>
  <si>
    <t>考選部</t>
    <phoneticPr fontId="14" type="noConversion"/>
  </si>
  <si>
    <t>其他</t>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</si>
  <si>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</si>
  <si>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修理保養及保固費</t>
    </r>
    <phoneticPr fontId="2" type="noConversion"/>
  </si>
  <si>
    <r>
      <t xml:space="preserve">     </t>
    </r>
    <r>
      <rPr>
        <sz val="12"/>
        <color indexed="8"/>
        <rFont val="標楷體"/>
        <family val="4"/>
        <charset val="136"/>
      </rPr>
      <t>地租及水租</t>
    </r>
    <phoneticPr fontId="2" type="noConversion"/>
  </si>
  <si>
    <t>考選部</t>
    <phoneticPr fontId="2" type="noConversion"/>
  </si>
  <si>
    <t>考選業務基金</t>
    <phoneticPr fontId="2" type="noConversion"/>
  </si>
  <si>
    <t>前年度決算數</t>
    <phoneticPr fontId="2" type="noConversion"/>
  </si>
  <si>
    <t>上年度預算數</t>
    <phoneticPr fontId="2" type="noConversion"/>
  </si>
  <si>
    <t>科目及業務計畫項目</t>
    <phoneticPr fontId="2" type="noConversion"/>
  </si>
  <si>
    <t>本年度預算數</t>
    <phoneticPr fontId="2" type="noConversion"/>
  </si>
  <si>
    <t>服務費用</t>
    <phoneticPr fontId="2" type="noConversion"/>
  </si>
  <si>
    <t xml:space="preserve">  水電費</t>
    <phoneticPr fontId="2" type="noConversion"/>
  </si>
  <si>
    <t xml:space="preserve">    工作場所電費</t>
    <phoneticPr fontId="2" type="noConversion"/>
  </si>
  <si>
    <t xml:space="preserve">    工作場所水費</t>
    <phoneticPr fontId="2" type="noConversion"/>
  </si>
  <si>
    <r>
      <t xml:space="preserve">        </t>
    </r>
    <r>
      <rPr>
        <sz val="11"/>
        <color indexed="8"/>
        <rFont val="標楷體"/>
        <family val="4"/>
        <charset val="136"/>
      </rPr>
      <t>氣體費</t>
    </r>
    <phoneticPr fontId="2" type="noConversion"/>
  </si>
  <si>
    <t xml:space="preserve">  郵電費</t>
    <phoneticPr fontId="2" type="noConversion"/>
  </si>
  <si>
    <t xml:space="preserve">    郵費</t>
    <phoneticPr fontId="2" type="noConversion"/>
  </si>
  <si>
    <t xml:space="preserve">    電話費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</si>
  <si>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</si>
  <si>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</si>
  <si>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</si>
  <si>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印刷裝訂與廣告費</t>
    <phoneticPr fontId="2" type="noConversion"/>
  </si>
  <si>
    <t xml:space="preserve">    印刷及裝訂費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</si>
  <si>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</si>
  <si>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</si>
  <si>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2"/>
        <color indexed="8"/>
        <rFont val="標楷體"/>
        <family val="4"/>
        <charset val="136"/>
      </rPr>
      <t>保險費</t>
    </r>
    <phoneticPr fontId="2" type="noConversion"/>
  </si>
  <si>
    <r>
      <t xml:space="preserve">        </t>
    </r>
    <r>
      <rPr>
        <sz val="11"/>
        <color indexed="8"/>
        <rFont val="標楷體"/>
        <family val="4"/>
        <charset val="136"/>
      </rPr>
      <t>責任保險費</t>
    </r>
    <phoneticPr fontId="2" type="noConversion"/>
  </si>
  <si>
    <r>
      <t xml:space="preserve">        </t>
    </r>
    <r>
      <rPr>
        <sz val="11"/>
        <color indexed="8"/>
        <rFont val="標楷體"/>
        <family val="4"/>
        <charset val="136"/>
      </rPr>
      <t>其他保險費</t>
    </r>
    <phoneticPr fontId="2" type="noConversion"/>
  </si>
  <si>
    <t>　　交通及運輸設備修護費</t>
    <phoneticPr fontId="2" type="noConversion"/>
  </si>
  <si>
    <r>
      <t xml:space="preserve">        </t>
    </r>
    <r>
      <rPr>
        <sz val="11"/>
        <color indexed="8"/>
        <rFont val="標楷體"/>
        <family val="4"/>
        <charset val="136"/>
      </rPr>
      <t>什項設備修護費</t>
    </r>
    <phoneticPr fontId="2" type="noConversion"/>
  </si>
  <si>
    <t>平均</t>
    <phoneticPr fontId="2" type="noConversion"/>
  </si>
  <si>
    <t>移列公務爭取額度外900</t>
    <phoneticPr fontId="2" type="noConversion"/>
  </si>
  <si>
    <r>
      <t>汰換</t>
    </r>
    <r>
      <rPr>
        <sz val="11"/>
        <rFont val="Times New Roman"/>
        <family val="1"/>
      </rPr>
      <t/>
    </r>
    <phoneticPr fontId="14" type="noConversion"/>
  </si>
  <si>
    <t>前年度決算數</t>
    <phoneticPr fontId="14" type="noConversion"/>
  </si>
  <si>
    <t>一般建築及設備計畫之分年性項目明細表</t>
    <phoneticPr fontId="14" type="noConversion"/>
  </si>
  <si>
    <t>考選部</t>
    <phoneticPr fontId="14" type="noConversion"/>
  </si>
  <si>
    <t>考選業務基金</t>
    <phoneticPr fontId="14" type="noConversion"/>
  </si>
  <si>
    <t>資產折舊明細表</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</si>
  <si>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</si>
  <si>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</si>
  <si>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</si>
  <si>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機械及設備</t>
    <phoneticPr fontId="14" type="noConversion"/>
  </si>
  <si>
    <t>合計</t>
    <phoneticPr fontId="14" type="noConversion"/>
  </si>
  <si>
    <t>前年度決算資產原值</t>
    <phoneticPr fontId="14" type="noConversion"/>
  </si>
  <si>
    <t>上年度預計新增資產原值</t>
    <phoneticPr fontId="14" type="noConversion"/>
  </si>
  <si>
    <t>本年度預計新增資產原值</t>
    <phoneticPr fontId="14" type="noConversion"/>
  </si>
  <si>
    <t>資產重估增值額</t>
    <phoneticPr fontId="14" type="noConversion"/>
  </si>
  <si>
    <t>本年度(12月底)止資產總額</t>
    <phoneticPr fontId="14" type="noConversion"/>
  </si>
  <si>
    <t>折舊方法</t>
    <phoneticPr fontId="14" type="noConversion"/>
  </si>
  <si>
    <t>直　線　法</t>
    <phoneticPr fontId="14" type="noConversion"/>
  </si>
  <si>
    <t>折舊率</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</si>
  <si>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</si>
  <si>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本年度應提折舊額</t>
    <phoneticPr fontId="14" type="noConversion"/>
  </si>
  <si>
    <r>
      <t xml:space="preserve">    </t>
    </r>
    <r>
      <rPr>
        <sz val="12"/>
        <rFont val="標楷體"/>
        <family val="4"/>
        <charset val="136"/>
      </rPr>
      <t>勞務成本</t>
    </r>
    <phoneticPr fontId="14" type="noConversion"/>
  </si>
  <si>
    <t>考選部</t>
    <phoneticPr fontId="14" type="noConversion"/>
  </si>
  <si>
    <t>考選業務基金</t>
    <phoneticPr fontId="14"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</si>
  <si>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</si>
  <si>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</si>
  <si>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</si>
  <si>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</si>
  <si>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應收款項</t>
    <phoneticPr fontId="2" type="noConversion"/>
  </si>
  <si>
    <t xml:space="preserve">    應收利息</t>
    <phoneticPr fontId="2" type="noConversion"/>
  </si>
  <si>
    <t xml:space="preserve">    其他應收款</t>
    <phoneticPr fontId="2" type="noConversion"/>
  </si>
  <si>
    <t>機械及設備</t>
    <phoneticPr fontId="5" type="noConversion"/>
  </si>
  <si>
    <t>減:累計折舊-機械及設
　　備</t>
    <phoneticPr fontId="5" type="noConversion"/>
  </si>
  <si>
    <t>什項設備</t>
    <phoneticPr fontId="2" type="noConversion"/>
  </si>
  <si>
    <t xml:space="preserve">    減:累計折舊-什項設備</t>
    <phoneticPr fontId="2" type="noConversion"/>
  </si>
  <si>
    <t>其他資產</t>
    <phoneticPr fontId="5" type="noConversion"/>
  </si>
  <si>
    <t xml:space="preserve">  什項資產</t>
    <phoneticPr fontId="5" type="noConversion"/>
  </si>
  <si>
    <t xml:space="preserve">    存出保證金</t>
    <phoneticPr fontId="5" type="noConversion"/>
  </si>
  <si>
    <t>　　應付代收款</t>
    <phoneticPr fontId="2" type="noConversion"/>
  </si>
  <si>
    <t>　　應付薪工</t>
    <phoneticPr fontId="2" type="noConversion"/>
  </si>
  <si>
    <t>　　應付費用</t>
    <phoneticPr fontId="2" type="noConversion"/>
  </si>
  <si>
    <t>　　應付稅款</t>
    <phoneticPr fontId="2" type="noConversion"/>
  </si>
  <si>
    <t>　　其他應付款</t>
    <phoneticPr fontId="2" type="noConversion"/>
  </si>
  <si>
    <t>　　預收收入</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</si>
  <si>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</si>
  <si>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</si>
  <si>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</si>
  <si>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</si>
  <si>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負債及淨值合計</t>
    <phoneticPr fontId="2"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</si>
  <si>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</si>
  <si>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</si>
  <si>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</si>
  <si>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單位成本(元)</t>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</si>
  <si>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</si>
  <si>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r>
      <t>說</t>
    </r>
    <r>
      <rPr>
        <sz val="12"/>
        <rFont val="標楷體"/>
        <family val="4"/>
        <charset val="136"/>
      </rPr>
      <t>明</t>
    </r>
    <phoneticPr fontId="14" type="noConversion"/>
  </si>
  <si>
    <t>前年度決算數</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</si>
  <si>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</si>
  <si>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平衡表</t>
    <phoneticPr fontId="2" type="noConversion"/>
  </si>
  <si>
    <t>預計</t>
    <phoneticPr fontId="2" type="noConversion"/>
  </si>
  <si>
    <t>部</t>
    <phoneticPr fontId="2" type="noConversion"/>
  </si>
  <si>
    <t>考選</t>
    <phoneticPr fontId="2" type="noConversion"/>
  </si>
  <si>
    <t>務基金</t>
    <phoneticPr fontId="2" type="noConversion"/>
  </si>
  <si>
    <t>考選業</t>
    <phoneticPr fontId="2" type="noConversion"/>
  </si>
  <si>
    <t>年12月31日</t>
    <phoneticPr fontId="2" type="noConversion"/>
  </si>
  <si>
    <t>科                   目</t>
    <phoneticPr fontId="2" type="noConversion"/>
  </si>
  <si>
    <t>比較增減(-)</t>
    <phoneticPr fontId="2" type="noConversion"/>
  </si>
  <si>
    <t>資　　產</t>
    <phoneticPr fontId="2" type="noConversion"/>
  </si>
  <si>
    <t>流動負債</t>
    <phoneticPr fontId="2" type="noConversion"/>
  </si>
  <si>
    <t xml:space="preserve">  應付款項</t>
    <phoneticPr fontId="2" type="noConversion"/>
  </si>
  <si>
    <t xml:space="preserve">    銀行存款</t>
    <phoneticPr fontId="2" type="noConversion"/>
  </si>
  <si>
    <t>　　應付代收款</t>
    <phoneticPr fontId="2" type="noConversion"/>
  </si>
  <si>
    <t xml:space="preserve">  應收款項</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</si>
  <si>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</si>
  <si>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</si>
  <si>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</si>
  <si>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</si>
  <si>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</si>
  <si>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</si>
  <si>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</si>
  <si>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</si>
  <si>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</si>
  <si>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</si>
  <si>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</si>
  <si>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</si>
  <si>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</si>
  <si>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</si>
  <si>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</si>
  <si>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</si>
  <si>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</si>
  <si>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</si>
  <si>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5" type="noConversion"/>
  </si>
  <si>
    <t>累積餘(+)絀(-)</t>
    <phoneticPr fontId="2" type="noConversion"/>
  </si>
  <si>
    <t xml:space="preserve">  無形資產</t>
    <phoneticPr fontId="5" type="noConversion"/>
  </si>
  <si>
    <t xml:space="preserve">    電腦軟體</t>
    <phoneticPr fontId="5" type="noConversion"/>
  </si>
  <si>
    <t>其他資產</t>
    <phoneticPr fontId="5" type="noConversion"/>
  </si>
  <si>
    <t xml:space="preserve">  什項資產</t>
    <phoneticPr fontId="5" type="noConversion"/>
  </si>
  <si>
    <t xml:space="preserve">    存出保證金</t>
    <phoneticPr fontId="5"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</si>
  <si>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</si>
  <si>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</si>
  <si>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</si>
  <si>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</si>
  <si>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</si>
  <si>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</si>
  <si>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</si>
  <si>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</si>
  <si>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</si>
  <si>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</si>
  <si>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</si>
  <si>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</si>
  <si>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</si>
  <si>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</si>
  <si>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</si>
  <si>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</si>
  <si>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</si>
  <si>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</si>
  <si>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</si>
  <si>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</si>
  <si>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</si>
  <si>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合      計</t>
    <phoneticPr fontId="2" type="noConversion"/>
  </si>
  <si>
    <t>一般建築及設備計畫之分年性項目明細表</t>
    <phoneticPr fontId="14" type="noConversion"/>
  </si>
  <si>
    <t>單位︰新臺幣千元</t>
    <phoneticPr fontId="14" type="noConversion"/>
  </si>
  <si>
    <t>以前年度
預算數</t>
    <phoneticPr fontId="14"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</si>
  <si>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</si>
  <si>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</si>
  <si>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</si>
  <si>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</si>
  <si>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 xml:space="preserve">   1.勞務收入明細表．．．．．．．．．．．．．．．．．．．．．．．．．．．．．．．</t>
    <phoneticPr fontId="2" type="noConversion"/>
  </si>
  <si>
    <t>（三）參考表</t>
    <phoneticPr fontId="2" type="noConversion"/>
  </si>
  <si>
    <t>（四）附錄</t>
    <phoneticPr fontId="2" type="noConversion"/>
  </si>
  <si>
    <t xml:space="preserve">  雜項業務成本</t>
    <phoneticPr fontId="2" type="noConversion"/>
  </si>
  <si>
    <t xml:space="preserve">    租金與利息</t>
    <phoneticPr fontId="2" type="noConversion"/>
  </si>
  <si>
    <r>
      <t xml:space="preserve">      </t>
    </r>
    <r>
      <rPr>
        <sz val="11"/>
        <color indexed="8"/>
        <rFont val="標楷體"/>
        <family val="4"/>
        <charset val="136"/>
      </rPr>
      <t xml:space="preserve"> 辦公（事務）用品</t>
    </r>
    <phoneticPr fontId="2" type="noConversion"/>
  </si>
  <si>
    <r>
      <t xml:space="preserve">        </t>
    </r>
    <r>
      <rPr>
        <sz val="11"/>
        <color indexed="8"/>
        <rFont val="標楷體"/>
        <family val="4"/>
        <charset val="136"/>
      </rPr>
      <t>報章什誌</t>
    </r>
    <phoneticPr fontId="2" type="noConversion"/>
  </si>
  <si>
    <t xml:space="preserve">    醫療用品（非醫療院所使用）</t>
    <phoneticPr fontId="2" type="noConversion"/>
  </si>
  <si>
    <t xml:space="preserve">      印刷裝訂與廣告費</t>
    <phoneticPr fontId="2" type="noConversion"/>
  </si>
  <si>
    <t>　印刷裝訂與廣告費</t>
    <phoneticPr fontId="2" type="noConversion"/>
  </si>
  <si>
    <t xml:space="preserve">    代理（辦）費</t>
    <phoneticPr fontId="2" type="noConversion"/>
  </si>
  <si>
    <t xml:space="preserve">    辦公（事務）用品</t>
    <phoneticPr fontId="2" type="noConversion"/>
  </si>
  <si>
    <t xml:space="preserve">    報章什誌</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</si>
  <si>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</si>
  <si>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</si>
  <si>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</si>
  <si>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</si>
  <si>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5" type="noConversion"/>
  </si>
  <si>
    <t>　　機械及設備</t>
    <phoneticPr fontId="5"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</si>
  <si>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</si>
  <si>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4"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</si>
  <si>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</si>
  <si>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</si>
  <si>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</si>
  <si>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</si>
  <si>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</si>
  <si>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</si>
  <si>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</si>
  <si>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　未分配賸餘</t>
    <phoneticPr fontId="14" type="noConversion"/>
  </si>
  <si>
    <t>合      計</t>
    <phoneticPr fontId="2" type="noConversion"/>
  </si>
  <si>
    <t>合　　　   計</t>
    <phoneticPr fontId="14"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</si>
  <si>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</si>
  <si>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</si>
  <si>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</si>
  <si>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</si>
  <si>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4" type="noConversion"/>
  </si>
  <si>
    <t xml:space="preserve">單位:新臺幣千元 </t>
    <phoneticPr fontId="2" type="noConversion"/>
  </si>
  <si>
    <t>單位:新臺幣千元</t>
    <phoneticPr fontId="2" type="noConversion"/>
  </si>
  <si>
    <t>單位:新臺幣千元</t>
    <phoneticPr fontId="2" type="noConversion"/>
  </si>
  <si>
    <t xml:space="preserve">單位:新臺幣千元 </t>
    <phoneticPr fontId="2" type="noConversion"/>
  </si>
  <si>
    <t xml:space="preserve">    公告費</t>
    <phoneticPr fontId="2" type="noConversion"/>
  </si>
  <si>
    <t xml:space="preserve">   1.預計平衡表．．．．．．．．．．．．．．．．．．．．．．．．．．．．．．．．．．．．．</t>
    <phoneticPr fontId="2" type="noConversion"/>
  </si>
  <si>
    <t xml:space="preserve">   1.立法院審議中央政府總預算案附屬單位預算所提決議及附帶決議</t>
    <phoneticPr fontId="2" type="noConversion"/>
  </si>
  <si>
    <t>固定資產明細表</t>
    <phoneticPr fontId="14" type="noConversion"/>
  </si>
  <si>
    <t>單位：新臺幣千元</t>
    <phoneticPr fontId="3" type="noConversion"/>
  </si>
  <si>
    <t xml:space="preserve">  項目         年度</t>
    <phoneticPr fontId="14" type="noConversion"/>
  </si>
  <si>
    <t xml:space="preserve"> 項目           年度</t>
    <phoneticPr fontId="14" type="noConversion"/>
  </si>
  <si>
    <t>　　食品</t>
    <phoneticPr fontId="2" type="noConversion"/>
  </si>
  <si>
    <t>　土地稅</t>
    <phoneticPr fontId="2" type="noConversion"/>
  </si>
  <si>
    <t>　　一般土地地價稅</t>
    <phoneticPr fontId="2" type="noConversion"/>
  </si>
  <si>
    <t>短絀、賠償與保險給付</t>
    <phoneticPr fontId="2" type="noConversion"/>
  </si>
  <si>
    <t>　賠償給付</t>
    <phoneticPr fontId="2" type="noConversion"/>
  </si>
  <si>
    <t>　　一般賠償</t>
    <phoneticPr fontId="2" type="noConversion"/>
  </si>
  <si>
    <t>　其他費用</t>
    <phoneticPr fontId="2" type="noConversion"/>
  </si>
  <si>
    <t>　　其他</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</si>
  <si>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</si>
  <si>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</si>
  <si>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</si>
  <si>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</si>
  <si>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</si>
  <si>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5" type="noConversion"/>
  </si>
  <si>
    <t>　什項設備</t>
    <phoneticPr fontId="2" type="noConversion"/>
  </si>
  <si>
    <t>　　什項設備</t>
    <phoneticPr fontId="2" type="noConversion"/>
  </si>
  <si>
    <t>減:累計折舊-交通及運
　　輸設備</t>
    <phoneticPr fontId="5" type="noConversion"/>
  </si>
  <si>
    <t>　　減:累計折舊-機械及設
　　 　 備</t>
    <phoneticPr fontId="5" type="noConversion"/>
  </si>
  <si>
    <t>　　減:累計折舊-交通及運
　　    輸設備</t>
    <phoneticPr fontId="5" type="noConversion"/>
  </si>
  <si>
    <t>基金</t>
    <phoneticPr fontId="2" type="noConversion"/>
  </si>
  <si>
    <t xml:space="preserve">    法律事務費</t>
    <phoneticPr fontId="2" type="noConversion"/>
  </si>
  <si>
    <t xml:space="preserve">    其他</t>
    <phoneticPr fontId="2" type="noConversion"/>
  </si>
  <si>
    <t xml:space="preserve">    印花稅</t>
    <phoneticPr fontId="2" type="noConversion"/>
  </si>
  <si>
    <t xml:space="preserve">    一般賠償</t>
    <phoneticPr fontId="2" type="noConversion"/>
  </si>
  <si>
    <t>短絀、賠償與保險給付</t>
    <phoneticPr fontId="2" type="noConversion"/>
  </si>
  <si>
    <t>短絀、賠償與保險給付</t>
    <phoneticPr fontId="2" type="noConversion"/>
  </si>
  <si>
    <t xml:space="preserve">  賠償給付</t>
    <phoneticPr fontId="2" type="noConversion"/>
  </si>
  <si>
    <t xml:space="preserve">  土地稅</t>
    <phoneticPr fontId="2" type="noConversion"/>
  </si>
  <si>
    <r>
      <t>主</t>
    </r>
    <r>
      <rPr>
        <sz val="24"/>
        <rFont val="Times New Roman"/>
        <family val="1"/>
      </rPr>
      <t xml:space="preserve">  </t>
    </r>
    <r>
      <rPr>
        <sz val="24"/>
        <rFont val="標楷體"/>
        <family val="4"/>
        <charset val="136"/>
      </rPr>
      <t>辦</t>
    </r>
    <r>
      <rPr>
        <sz val="24"/>
        <rFont val="Times New Roman"/>
        <family val="1"/>
      </rPr>
      <t xml:space="preserve">  </t>
    </r>
    <r>
      <rPr>
        <sz val="24"/>
        <rFont val="標楷體"/>
        <family val="4"/>
        <charset val="136"/>
      </rPr>
      <t>會</t>
    </r>
    <r>
      <rPr>
        <sz val="24"/>
        <rFont val="Times New Roman"/>
        <family val="1"/>
      </rPr>
      <t xml:space="preserve">  </t>
    </r>
    <r>
      <rPr>
        <sz val="24"/>
        <rFont val="標楷體"/>
        <family val="4"/>
        <charset val="136"/>
      </rPr>
      <t>計</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員：蘇錦源</t>
    </r>
    <phoneticPr fontId="2" type="noConversion"/>
  </si>
  <si>
    <r>
      <t>基</t>
    </r>
    <r>
      <rPr>
        <sz val="24"/>
        <rFont val="Times New Roman"/>
        <family val="1"/>
      </rPr>
      <t xml:space="preserve">   </t>
    </r>
    <r>
      <rPr>
        <sz val="24"/>
        <rFont val="標楷體"/>
        <family val="4"/>
        <charset val="136"/>
      </rPr>
      <t>金</t>
    </r>
    <r>
      <rPr>
        <sz val="24"/>
        <rFont val="Times New Roman"/>
        <family val="1"/>
      </rPr>
      <t xml:space="preserve">   </t>
    </r>
    <r>
      <rPr>
        <sz val="24"/>
        <rFont val="標楷體"/>
        <family val="4"/>
        <charset val="136"/>
      </rPr>
      <t>主</t>
    </r>
    <r>
      <rPr>
        <sz val="24"/>
        <rFont val="Times New Roman"/>
        <family val="1"/>
      </rPr>
      <t xml:space="preserve">   </t>
    </r>
    <r>
      <rPr>
        <sz val="24"/>
        <rFont val="標楷體"/>
        <family val="4"/>
        <charset val="136"/>
      </rPr>
      <t>持</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t>
    </r>
    <r>
      <rPr>
        <sz val="24"/>
        <rFont val="Times New Roman"/>
        <family val="1"/>
      </rPr>
      <t xml:space="preserve"> </t>
    </r>
    <r>
      <rPr>
        <sz val="24"/>
        <rFont val="標楷體"/>
        <family val="4"/>
        <charset val="136"/>
      </rPr>
      <t>董保城</t>
    </r>
    <phoneticPr fontId="2" type="noConversion"/>
  </si>
  <si>
    <t>102收入：796,446</t>
    <phoneticPr fontId="2" type="noConversion"/>
  </si>
  <si>
    <t>100決收入：722,237</t>
    <phoneticPr fontId="2" type="noConversion"/>
  </si>
  <si>
    <t>中央監控中心線路租金+100.新增網路報名分站資訊安全監控維運、機房代管暨ISMS認證1200</t>
    <phoneticPr fontId="2" type="noConversion"/>
  </si>
  <si>
    <t xml:space="preserve">    委託調查研究費</t>
    <phoneticPr fontId="2" type="noConversion"/>
  </si>
  <si>
    <t>業務成本與費用</t>
    <phoneticPr fontId="2" type="noConversion"/>
  </si>
  <si>
    <t>機械
及設備</t>
    <phoneticPr fontId="14" type="noConversion"/>
  </si>
  <si>
    <r>
      <t>土地
改良</t>
    </r>
    <r>
      <rPr>
        <sz val="12"/>
        <rFont val="標楷體"/>
        <family val="4"/>
        <charset val="136"/>
      </rPr>
      <t>物</t>
    </r>
    <phoneticPr fontId="14" type="noConversion"/>
  </si>
  <si>
    <r>
      <t>房屋
及建</t>
    </r>
    <r>
      <rPr>
        <sz val="12"/>
        <rFont val="標楷體"/>
        <family val="4"/>
        <charset val="136"/>
      </rPr>
      <t>築</t>
    </r>
    <phoneticPr fontId="14" type="noConversion"/>
  </si>
  <si>
    <t xml:space="preserve">  辦理各項考試業務</t>
    <phoneticPr fontId="8" type="noConversion"/>
  </si>
  <si>
    <t xml:space="preserve">  辦理各項考試業務</t>
    <phoneticPr fontId="8" type="noConversion"/>
  </si>
  <si>
    <t xml:space="preserve">    佣金、匯費、經理費及手續費</t>
    <phoneticPr fontId="2" type="noConversion"/>
  </si>
  <si>
    <t xml:space="preserve">    講課鐘點、稿費、出席審查及查詢費</t>
    <phoneticPr fontId="2" type="noConversion"/>
  </si>
  <si>
    <t xml:space="preserve">    委託檢驗（定）試驗認證費</t>
    <phoneticPr fontId="2" type="noConversion"/>
  </si>
  <si>
    <t xml:space="preserve">    醫療用品（非醫療院所使用）</t>
    <phoneticPr fontId="2" type="noConversion"/>
  </si>
  <si>
    <t>上年度
預算數</t>
    <phoneticPr fontId="2" type="noConversion"/>
  </si>
  <si>
    <t>國庫撥款</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</si>
  <si>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</si>
  <si>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 xml:space="preserve">   2.餘絀撥補預計表．．．．．．．．．．．．．．．．．．．．．．</t>
    <phoneticPr fontId="2" type="noConversion"/>
  </si>
  <si>
    <t xml:space="preserve">   3.現金流量預計表．．．．．．．．．．．．．．．．．．．．．．</t>
    <phoneticPr fontId="2" type="noConversion"/>
  </si>
  <si>
    <t>業務外賸餘（短絀-）</t>
    <phoneticPr fontId="2" type="noConversion"/>
  </si>
  <si>
    <r>
      <t>業務賸餘（短絀</t>
    </r>
    <r>
      <rPr>
        <b/>
        <sz val="12"/>
        <rFont val="Times New Roman"/>
        <family val="1"/>
      </rPr>
      <t>-</t>
    </r>
    <r>
      <rPr>
        <b/>
        <sz val="12"/>
        <rFont val="標楷體"/>
        <family val="4"/>
        <charset val="136"/>
      </rPr>
      <t>）</t>
    </r>
    <phoneticPr fontId="2" type="noConversion"/>
  </si>
  <si>
    <t>本期賸餘（短絀-）</t>
    <phoneticPr fontId="2" type="noConversion"/>
  </si>
  <si>
    <t>稅捐與規費(強制費)</t>
    <phoneticPr fontId="2" type="noConversion"/>
  </si>
  <si>
    <t>會費、捐助、補助、分攤、救助(濟)與交流活動費</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</si>
  <si>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</si>
  <si>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</si>
  <si>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</si>
  <si>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辦理公務人員考試、專門職業及技術人員考試等考試計畫。</t>
    <phoneticPr fontId="8" type="noConversion"/>
  </si>
  <si>
    <t>資訊處</t>
    <phoneticPr fontId="14" type="noConversion"/>
  </si>
  <si>
    <t>總務司</t>
    <phoneticPr fontId="14" type="noConversion"/>
  </si>
  <si>
    <t>單位</t>
    <phoneticPr fontId="14"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</si>
  <si>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</si>
  <si>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</si>
  <si>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最近5年賸餘分配（圖5）</t>
    <phoneticPr fontId="3" type="noConversion"/>
  </si>
  <si>
    <t>最近5年收入與費用（圖3）</t>
    <phoneticPr fontId="3"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</si>
  <si>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</si>
  <si>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</si>
  <si>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</si>
  <si>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</si>
  <si>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</si>
  <si>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</si>
  <si>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</si>
  <si>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</si>
  <si>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</si>
  <si>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</si>
  <si>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</si>
  <si>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</si>
  <si>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</si>
  <si>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</si>
  <si>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</si>
  <si>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</si>
  <si>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</si>
  <si>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</si>
  <si>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</si>
  <si>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</si>
  <si>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</si>
  <si>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</si>
  <si>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</si>
  <si>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</si>
  <si>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</si>
  <si>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</si>
  <si>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</si>
  <si>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</si>
  <si>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</si>
  <si>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</si>
  <si>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</si>
  <si>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</si>
  <si>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</si>
  <si>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</si>
  <si>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</si>
  <si>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</si>
  <si>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</si>
  <si>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</si>
  <si>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</si>
  <si>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 xml:space="preserve">   4.用人費用彙計表．．．．．．．．．．．．．．．．．．．．．．</t>
    <phoneticPr fontId="2"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</si>
  <si>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</si>
  <si>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</si>
  <si>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</si>
  <si>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</si>
  <si>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</si>
  <si>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</si>
  <si>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</si>
  <si>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</si>
  <si>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</si>
  <si>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備註：本基金以服務費用支付編制外之進用人力，其內容如下：</t>
    <phoneticPr fontId="14" type="noConversion"/>
  </si>
  <si>
    <t>　　　1.辦理各項考試業務按試務期程所需彈性進退之按日計時臨時人員，預計進用90天以內</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</si>
  <si>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</si>
  <si>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</si>
  <si>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</si>
  <si>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</si>
  <si>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</si>
  <si>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</si>
  <si>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</si>
  <si>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</si>
  <si>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</si>
  <si>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</si>
  <si>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</si>
  <si>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</si>
  <si>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</si>
  <si>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</si>
  <si>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</si>
  <si>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</si>
  <si>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</si>
  <si>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</si>
  <si>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</si>
  <si>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</si>
  <si>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</si>
  <si>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</si>
  <si>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</si>
  <si>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</si>
  <si>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</si>
  <si>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</si>
  <si>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</si>
  <si>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</si>
  <si>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</si>
  <si>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</si>
  <si>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備註：本基金以服務費用支付編制外之進用人力，其內容如下：</t>
    <phoneticPr fontId="14" type="noConversion"/>
  </si>
  <si>
    <t>　　　　定期契約臨時人員420人、90-180天定期契約臨時人員100人及不定期契約臨時人員</t>
    <phoneticPr fontId="14" type="noConversion"/>
  </si>
  <si>
    <t xml:space="preserve"> 中華民國 104 年度</t>
    <phoneticPr fontId="14" type="noConversion"/>
  </si>
  <si>
    <t>台</t>
    <phoneticPr fontId="14" type="noConversion"/>
  </si>
  <si>
    <t>辦理公務人員考試、專門職業及技術人員考試等考試計畫。</t>
    <phoneticPr fontId="8" type="noConversion"/>
  </si>
  <si>
    <t>備註：本基金以服務費用支付編制外之進用人力，其內容如下：</t>
    <phoneticPr fontId="14" type="noConversion"/>
  </si>
  <si>
    <t>一般建築及設備</t>
    <phoneticPr fontId="14" type="noConversion"/>
  </si>
  <si>
    <t>計畫</t>
    <phoneticPr fontId="14" type="noConversion"/>
  </si>
  <si>
    <t>　　　2.清潔外包部分之承攬人力8人。</t>
    <phoneticPr fontId="14" type="noConversion"/>
  </si>
  <si>
    <t>　　　2.清潔外包之勞務承攬3,500千元。</t>
    <phoneticPr fontId="14" type="noConversion"/>
  </si>
  <si>
    <t>中華民國 105 年度</t>
    <phoneticPr fontId="14" type="noConversion"/>
  </si>
  <si>
    <t>國家考場飲水機16台</t>
    <phoneticPr fontId="14" type="noConversion"/>
  </si>
  <si>
    <t>安檢門300</t>
    <phoneticPr fontId="14" type="noConversion"/>
  </si>
  <si>
    <t>彩色彩印機500</t>
    <phoneticPr fontId="14" type="noConversion"/>
  </si>
  <si>
    <t>新增</t>
    <phoneticPr fontId="14" type="noConversion"/>
  </si>
  <si>
    <t>延續</t>
    <phoneticPr fontId="14" type="noConversion"/>
  </si>
  <si>
    <t>其他業務外收入</t>
    <phoneticPr fontId="2" type="noConversion"/>
  </si>
  <si>
    <t>其他業務外收入明細表</t>
    <phoneticPr fontId="2" type="noConversion"/>
  </si>
  <si>
    <t xml:space="preserve">  雜項收入</t>
    <phoneticPr fontId="2" type="noConversion"/>
  </si>
  <si>
    <t>中華民國105</t>
    <phoneticPr fontId="2" type="noConversion"/>
  </si>
  <si>
    <t>中華民國 105 年度</t>
    <phoneticPr fontId="8" type="noConversion"/>
  </si>
  <si>
    <t>103年12月31日
實  際  數</t>
    <phoneticPr fontId="2" type="noConversion"/>
  </si>
  <si>
    <t>公積</t>
    <phoneticPr fontId="2" type="noConversion"/>
  </si>
  <si>
    <t xml:space="preserve">  資本公積</t>
    <phoneticPr fontId="2" type="noConversion"/>
  </si>
  <si>
    <t xml:space="preserve">    受贈公積</t>
    <phoneticPr fontId="2" type="noConversion"/>
  </si>
  <si>
    <t>合計</t>
    <phoneticPr fontId="2" type="noConversion"/>
  </si>
  <si>
    <t>勞務成本</t>
    <phoneticPr fontId="2" type="noConversion"/>
  </si>
  <si>
    <t>其他業務外費用</t>
    <phoneticPr fontId="2" type="noConversion"/>
  </si>
  <si>
    <t xml:space="preserve">    工程及管理諮詢服務費</t>
    <phoneticPr fontId="2" type="noConversion"/>
  </si>
  <si>
    <t xml:space="preserve">    貨物稅</t>
    <phoneticPr fontId="2" type="noConversion"/>
  </si>
  <si>
    <t xml:space="preserve">    行政規費與強制費</t>
    <phoneticPr fontId="2" type="noConversion"/>
  </si>
  <si>
    <t>105年12月31日
預  計  數</t>
    <phoneticPr fontId="2" type="noConversion"/>
  </si>
  <si>
    <t>104年12月31日
預  計  數</t>
    <phoneticPr fontId="2" type="noConversion"/>
  </si>
  <si>
    <t>103年12月31日
實  際  數</t>
    <phoneticPr fontId="2" type="noConversion"/>
  </si>
  <si>
    <t>人次</t>
    <phoneticPr fontId="8" type="noConversion"/>
  </si>
  <si>
    <t>本年度預算數</t>
    <phoneticPr fontId="2" type="noConversion"/>
  </si>
  <si>
    <t xml:space="preserve">  規費</t>
    <phoneticPr fontId="2" type="noConversion"/>
  </si>
  <si>
    <t xml:space="preserve">  規費</t>
    <phoneticPr fontId="2" type="noConversion"/>
  </si>
  <si>
    <t>累積餘(+)絀(-)</t>
  </si>
  <si>
    <t>人次</t>
    <phoneticPr fontId="8" type="noConversion"/>
  </si>
  <si>
    <t>人次</t>
    <phoneticPr fontId="8" type="noConversion"/>
  </si>
  <si>
    <t>101年度決算數</t>
    <phoneticPr fontId="14" type="noConversion"/>
  </si>
  <si>
    <t>102年度決算數</t>
    <phoneticPr fontId="14" type="noConversion"/>
  </si>
  <si>
    <t>　　　　90人。</t>
    <phoneticPr fontId="14" type="noConversion"/>
  </si>
  <si>
    <t>中華民國 105 年度</t>
    <phoneticPr fontId="8" type="noConversion"/>
  </si>
  <si>
    <t>105 年度</t>
    <phoneticPr fontId="8" type="noConversion"/>
  </si>
  <si>
    <t>　　　1.辦理各項考試業務所需支付按日計時之臨時人員之工資67,230千元。</t>
    <phoneticPr fontId="14" type="noConversion"/>
  </si>
  <si>
    <t>　　　3.入闈及考試期間委託醫事人員服務之服務費99千元。</t>
    <phoneticPr fontId="14" type="noConversion"/>
  </si>
  <si>
    <t>其他業務收入明細表</t>
    <phoneticPr fontId="2" type="noConversion"/>
  </si>
  <si>
    <t>其他業務收入</t>
    <phoneticPr fontId="2" type="noConversion"/>
  </si>
  <si>
    <t xml:space="preserve">  雜項業務收入</t>
    <phoneticPr fontId="2" type="noConversion"/>
  </si>
  <si>
    <t>國家考試遠距線上閱卷建置1,750,000。</t>
    <phoneticPr fontId="14" type="noConversion"/>
  </si>
  <si>
    <t>試務資訊化及網路設備汰換4,500,000。</t>
    <phoneticPr fontId="14" type="noConversion"/>
  </si>
  <si>
    <t>試務場所電腦、筆電、印表機及闈場資訊設備零組件汰換650,000。</t>
    <phoneticPr fontId="14" type="noConversion"/>
  </si>
  <si>
    <t>題庫資訊系統主機汰換2,320,000。</t>
    <phoneticPr fontId="14" type="noConversion"/>
  </si>
  <si>
    <t>電腦化測驗電腦試場建置1,285,000。</t>
    <phoneticPr fontId="14" type="noConversion"/>
  </si>
  <si>
    <t>掃描機500</t>
    <phoneticPr fontId="14" type="noConversion"/>
  </si>
  <si>
    <r>
      <t xml:space="preserve">  </t>
    </r>
    <r>
      <rPr>
        <sz val="12"/>
        <color indexed="8"/>
        <rFont val="標楷體"/>
        <family val="4"/>
        <charset val="136"/>
      </rPr>
      <t xml:space="preserve"> 其他業務收入</t>
    </r>
    <phoneticPr fontId="14" type="noConversion"/>
  </si>
  <si>
    <r>
      <t xml:space="preserve">  </t>
    </r>
    <r>
      <rPr>
        <sz val="12"/>
        <color indexed="8"/>
        <rFont val="標楷體"/>
        <family val="4"/>
        <charset val="136"/>
      </rPr>
      <t xml:space="preserve"> 其他業務成本</t>
    </r>
    <phoneticPr fontId="14" type="noConversion"/>
  </si>
  <si>
    <r>
      <t xml:space="preserve">  </t>
    </r>
    <r>
      <rPr>
        <sz val="12"/>
        <color indexed="8"/>
        <rFont val="標楷體"/>
        <family val="4"/>
        <charset val="136"/>
      </rPr>
      <t xml:space="preserve"> 其他業務外收入</t>
    </r>
    <phoneticPr fontId="14" type="noConversion"/>
  </si>
  <si>
    <t>業務外費用</t>
    <phoneticPr fontId="2" type="noConversion"/>
  </si>
  <si>
    <r>
      <t xml:space="preserve">  </t>
    </r>
    <r>
      <rPr>
        <sz val="12"/>
        <color indexed="8"/>
        <rFont val="標楷體"/>
        <family val="4"/>
        <charset val="136"/>
      </rPr>
      <t xml:space="preserve"> 其他業務外費用</t>
    </r>
    <phoneticPr fontId="14" type="noConversion"/>
  </si>
  <si>
    <t xml:space="preserve">   勞務收入</t>
    <phoneticPr fontId="14" type="noConversion"/>
  </si>
  <si>
    <t xml:space="preserve">   財務收入</t>
    <phoneticPr fontId="14" type="noConversion"/>
  </si>
  <si>
    <r>
      <t xml:space="preserve">    </t>
    </r>
    <r>
      <rPr>
        <sz val="12"/>
        <color indexed="8"/>
        <rFont val="標楷體"/>
        <family val="4"/>
        <charset val="136"/>
      </rPr>
      <t xml:space="preserve"> 其他業務收入</t>
    </r>
    <phoneticPr fontId="14" type="noConversion"/>
  </si>
  <si>
    <t xml:space="preserve">   其他業務外收入</t>
    <phoneticPr fontId="14" type="noConversion"/>
  </si>
  <si>
    <t>　　</t>
    <phoneticPr fontId="2" type="noConversion"/>
  </si>
  <si>
    <t>人次</t>
    <phoneticPr fontId="2" type="noConversion"/>
  </si>
  <si>
    <t>人次</t>
    <phoneticPr fontId="2" type="noConversion"/>
  </si>
  <si>
    <t xml:space="preserve">    稅捐與規費(強制費)</t>
    <phoneticPr fontId="2" type="noConversion"/>
  </si>
  <si>
    <t>稅捐與規費(強制費)</t>
    <phoneticPr fontId="2" type="noConversion"/>
  </si>
  <si>
    <t xml:space="preserve">    數據通信費</t>
    <phoneticPr fontId="2" type="noConversion"/>
  </si>
  <si>
    <t>第一試務大樓、第二試務大樓及國家考場機房調系統</t>
    <phoneticPr fontId="14" type="noConversion"/>
  </si>
  <si>
    <t>第一試務闈場裝訂機</t>
    <phoneticPr fontId="14" type="noConversion"/>
  </si>
  <si>
    <t>第三試務機房空調設備</t>
    <phoneticPr fontId="14" type="noConversion"/>
  </si>
  <si>
    <t>第一及第二試務影印複合機</t>
    <phoneticPr fontId="14" type="noConversion"/>
  </si>
  <si>
    <t>總務司</t>
    <phoneticPr fontId="14" type="noConversion"/>
  </si>
  <si>
    <t>第二試務大樓窗型冷氣汰換500</t>
    <phoneticPr fontId="14" type="noConversion"/>
  </si>
  <si>
    <t>台</t>
    <phoneticPr fontId="14" type="noConversion"/>
  </si>
  <si>
    <t>第二試務大樓變頻多聯室外機</t>
    <phoneticPr fontId="14" type="noConversion"/>
  </si>
  <si>
    <t>汰換</t>
    <phoneticPr fontId="14" type="noConversion"/>
  </si>
  <si>
    <t>第一試務闈場速印機</t>
    <phoneticPr fontId="14" type="noConversion"/>
  </si>
  <si>
    <t>第三試務電腦機房掌型機</t>
    <phoneticPr fontId="14" type="noConversion"/>
  </si>
  <si>
    <t>第三試務審題室投影機5台</t>
    <phoneticPr fontId="14" type="noConversion"/>
  </si>
  <si>
    <t>碎紙機2台</t>
    <phoneticPr fontId="14" type="noConversion"/>
  </si>
  <si>
    <t>　　　3.入闈及考試期間委託醫事人員服務24人次。</t>
    <phoneticPr fontId="14" type="noConversion"/>
  </si>
  <si>
    <t>辦理公務人員考試、專門職業及技術人員考試等考試計畫。</t>
    <phoneticPr fontId="8" type="noConversion"/>
  </si>
  <si>
    <t>增加電腦軟體。</t>
    <phoneticPr fontId="2" type="noConversion"/>
  </si>
  <si>
    <t>係各項考試申請複查成績及閱覽試卷之收入</t>
    <phoneticPr fontId="2" type="noConversion"/>
  </si>
  <si>
    <t>100決不含折舊及攤銷成本：649,851</t>
    <phoneticPr fontId="2" type="noConversion"/>
  </si>
  <si>
    <t>101收入：720,932</t>
    <phoneticPr fontId="2" type="noConversion"/>
  </si>
  <si>
    <t>按101預算</t>
    <phoneticPr fontId="2" type="noConversion"/>
  </si>
  <si>
    <t>按100決算</t>
    <phoneticPr fontId="2" type="noConversion"/>
  </si>
  <si>
    <t>初編</t>
    <phoneticPr fontId="2" type="noConversion"/>
  </si>
  <si>
    <t xml:space="preserve">    郵費</t>
    <phoneticPr fontId="2" type="noConversion"/>
  </si>
  <si>
    <t xml:space="preserve">    數據通信費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</si>
  <si>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</si>
  <si>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</si>
  <si>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</si>
  <si>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其他旅運費</t>
    <phoneticPr fontId="2" type="noConversion"/>
  </si>
  <si>
    <t xml:space="preserve">  印刷裝訂與廣告費</t>
    <phoneticPr fontId="2" type="noConversion"/>
  </si>
  <si>
    <t xml:space="preserve">    印刷及裝訂費</t>
    <phoneticPr fontId="2" type="noConversion"/>
  </si>
  <si>
    <t xml:space="preserve">    公告費</t>
    <phoneticPr fontId="2" type="noConversion"/>
  </si>
  <si>
    <t xml:space="preserve">    業務宣導費</t>
    <phoneticPr fontId="2" type="noConversion"/>
  </si>
  <si>
    <t xml:space="preserve">  修理保養及保固費</t>
    <phoneticPr fontId="2" type="noConversion"/>
  </si>
  <si>
    <t xml:space="preserve">    一般房屋修護費</t>
    <phoneticPr fontId="2" type="noConversion"/>
  </si>
  <si>
    <t>國家考場大教室隔間230萬、1-4樓鋁百葉320萬、第二試務大樓屋頂防水200萬</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</si>
  <si>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</si>
  <si>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</si>
  <si>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1"/>
        <color indexed="8"/>
        <rFont val="標楷體"/>
        <family val="4"/>
        <charset val="136"/>
      </rPr>
      <t>什項設備修護費</t>
    </r>
    <phoneticPr fontId="2" type="noConversion"/>
  </si>
  <si>
    <t xml:space="preserve">  保險費</t>
    <phoneticPr fontId="2" type="noConversion"/>
  </si>
  <si>
    <t xml:space="preserve">    現金、存款及貨物保險費</t>
    <phoneticPr fontId="2" type="noConversion"/>
  </si>
  <si>
    <t xml:space="preserve">    責任保險費</t>
    <phoneticPr fontId="2" type="noConversion"/>
  </si>
  <si>
    <t xml:space="preserve">  一般服務費</t>
    <phoneticPr fontId="2" type="noConversion"/>
  </si>
  <si>
    <t xml:space="preserve">    佣金、匯費、經理費及手續費</t>
    <phoneticPr fontId="2" type="noConversion"/>
  </si>
  <si>
    <t xml:space="preserve">    代理（辦）費</t>
    <phoneticPr fontId="2" type="noConversion"/>
  </si>
  <si>
    <t xml:space="preserve">    外包費</t>
    <phoneticPr fontId="2" type="noConversion"/>
  </si>
  <si>
    <t>總務司5168774+834283  考試司8374954  資管預算12355000</t>
    <phoneticPr fontId="2" type="noConversion"/>
  </si>
  <si>
    <t>資管+101年7500+5650+保全1117</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</si>
  <si>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</si>
  <si>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</si>
  <si>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</si>
  <si>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法律事務費</t>
    <phoneticPr fontId="2" type="noConversion"/>
  </si>
  <si>
    <t xml:space="preserve">    工程及管理諮詢服務費</t>
    <phoneticPr fontId="2" type="noConversion"/>
  </si>
  <si>
    <t xml:space="preserve">    講課鐘點、稿費、出席審查及查詢費</t>
    <phoneticPr fontId="2" type="noConversion"/>
  </si>
  <si>
    <t>高普考3690、特考105、專技500</t>
    <phoneticPr fontId="2" type="noConversion"/>
  </si>
  <si>
    <t xml:space="preserve">    委託研究調查費</t>
    <phoneticPr fontId="2" type="noConversion"/>
  </si>
  <si>
    <t xml:space="preserve">    委託檢驗（定）試驗認證費</t>
    <phoneticPr fontId="2" type="noConversion"/>
  </si>
  <si>
    <r>
      <t xml:space="preserve">    </t>
    </r>
    <r>
      <rPr>
        <sz val="11"/>
        <color indexed="8"/>
        <rFont val="標楷體"/>
        <family val="4"/>
        <charset val="136"/>
      </rPr>
      <t>試務甄選費</t>
    </r>
    <phoneticPr fontId="2" type="noConversion"/>
  </si>
  <si>
    <t>公務人員及專技人員考試國際會議</t>
    <phoneticPr fontId="2" type="noConversion"/>
  </si>
  <si>
    <t xml:space="preserve">    其他</t>
    <phoneticPr fontId="2" type="noConversion"/>
  </si>
  <si>
    <t xml:space="preserve">  公共關係費</t>
    <phoneticPr fontId="2" type="noConversion"/>
  </si>
  <si>
    <t xml:space="preserve">    公共關係費</t>
    <phoneticPr fontId="2" type="noConversion"/>
  </si>
  <si>
    <t>材料及用品費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</si>
  <si>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</si>
  <si>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</si>
  <si>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</si>
  <si>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用品消耗</t>
    <phoneticPr fontId="2" type="noConversion"/>
  </si>
  <si>
    <r>
      <t xml:space="preserve">      </t>
    </r>
    <r>
      <rPr>
        <sz val="11"/>
        <color indexed="8"/>
        <rFont val="標楷體"/>
        <family val="4"/>
        <charset val="136"/>
      </rPr>
      <t xml:space="preserve"> 辦公（事務）用品</t>
    </r>
    <phoneticPr fontId="2" type="noConversion"/>
  </si>
  <si>
    <t xml:space="preserve">    報章什誌</t>
    <phoneticPr fontId="2" type="noConversion"/>
  </si>
  <si>
    <t xml:space="preserve">    食品</t>
    <phoneticPr fontId="2" type="noConversion"/>
  </si>
  <si>
    <t xml:space="preserve">    醫療用品（非醫療院所使用）</t>
    <phoneticPr fontId="2" type="noConversion"/>
  </si>
  <si>
    <t>租金與利息</t>
    <phoneticPr fontId="2" type="noConversion"/>
  </si>
  <si>
    <t xml:space="preserve">  地租及水租</t>
    <phoneticPr fontId="2" type="noConversion"/>
  </si>
  <si>
    <t xml:space="preserve">    場地租金</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</si>
  <si>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</si>
  <si>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</si>
  <si>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</si>
  <si>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</si>
  <si>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</si>
  <si>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</si>
  <si>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</si>
  <si>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</si>
  <si>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</si>
  <si>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</si>
  <si>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</si>
  <si>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</si>
  <si>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</si>
  <si>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</si>
  <si>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稅捐與規費(強制費)</t>
    <phoneticPr fontId="2" type="noConversion"/>
  </si>
  <si>
    <t xml:space="preserve">  房屋稅</t>
    <phoneticPr fontId="2" type="noConversion"/>
  </si>
  <si>
    <t xml:space="preserve">    一般房屋稅</t>
    <phoneticPr fontId="2" type="noConversion"/>
  </si>
  <si>
    <t xml:space="preserve">  消費與行為稅</t>
    <phoneticPr fontId="2" type="noConversion"/>
  </si>
  <si>
    <t xml:space="preserve">    貨物稅</t>
    <phoneticPr fontId="2" type="noConversion"/>
  </si>
  <si>
    <t xml:space="preserve">    印花稅</t>
    <phoneticPr fontId="2" type="noConversion"/>
  </si>
  <si>
    <t xml:space="preserve">  規費</t>
    <phoneticPr fontId="2" type="noConversion"/>
  </si>
  <si>
    <t xml:space="preserve">    行政規費與強制費</t>
    <phoneticPr fontId="2" type="noConversion"/>
  </si>
  <si>
    <t>會費、捐助、補助、分攤、救助(濟)與交流活動費</t>
    <phoneticPr fontId="2" type="noConversion"/>
  </si>
  <si>
    <t xml:space="preserve">  捐助、補助與獎助</t>
    <phoneticPr fontId="2" type="noConversion"/>
  </si>
  <si>
    <r>
      <t>合</t>
    </r>
    <r>
      <rPr>
        <sz val="12"/>
        <color indexed="8"/>
        <rFont val="Times New Roman"/>
        <family val="1"/>
      </rPr>
      <t xml:space="preserve">           </t>
    </r>
    <r>
      <rPr>
        <sz val="12"/>
        <color indexed="8"/>
        <rFont val="標楷體"/>
        <family val="4"/>
        <charset val="136"/>
      </rPr>
      <t>計</t>
    </r>
    <phoneticPr fontId="2" type="noConversion"/>
  </si>
  <si>
    <t xml:space="preserve">    捐助國內團體</t>
    <phoneticPr fontId="2" type="noConversion"/>
  </si>
  <si>
    <t xml:space="preserve">    捐助國內團體</t>
    <phoneticPr fontId="2" type="noConversion"/>
  </si>
  <si>
    <t>人次</t>
  </si>
  <si>
    <t>前年度決算數</t>
    <phoneticPr fontId="2" type="noConversion"/>
  </si>
  <si>
    <t>中華民國 106年度</t>
    <phoneticPr fontId="14" type="noConversion"/>
  </si>
  <si>
    <t>1,099千元。</t>
    <phoneticPr fontId="14" type="noConversion"/>
  </si>
  <si>
    <t>中華民國106年12月31日</t>
    <phoneticPr fontId="2" type="noConversion"/>
  </si>
  <si>
    <t>104年12月31日
實  際  數</t>
    <phoneticPr fontId="2" type="noConversion"/>
  </si>
  <si>
    <t>106年12月31日
預  計  數</t>
    <phoneticPr fontId="2" type="noConversion"/>
  </si>
  <si>
    <t xml:space="preserve">備註：信託代理與保證資產(負債)1,058千元，屬保證品(應付保證品)。     </t>
    <phoneticPr fontId="2" type="noConversion"/>
  </si>
  <si>
    <t>增加存入保證金646千元。</t>
    <phoneticPr fontId="2" type="noConversion"/>
  </si>
  <si>
    <t xml:space="preserve">    專技人員申請減免應試科目審議</t>
    <phoneticPr fontId="2" type="noConversion"/>
  </si>
  <si>
    <t xml:space="preserve">    專技人員申請實務經歷及專業研習
  </t>
    <phoneticPr fontId="2" type="noConversion"/>
  </si>
  <si>
    <t xml:space="preserve">    紀錄審查</t>
    <phoneticPr fontId="2" type="noConversion"/>
  </si>
  <si>
    <t>本年度預算數</t>
    <phoneticPr fontId="2" type="noConversion"/>
  </si>
  <si>
    <r>
      <t>金</t>
    </r>
    <r>
      <rPr>
        <sz val="12"/>
        <rFont val="Times New Roman"/>
        <family val="1"/>
      </rPr>
      <t xml:space="preserve">      </t>
    </r>
    <r>
      <rPr>
        <sz val="12"/>
        <rFont val="標楷體"/>
        <family val="4"/>
        <charset val="136"/>
      </rPr>
      <t>額</t>
    </r>
    <phoneticPr fontId="2" type="noConversion"/>
  </si>
  <si>
    <t>%</t>
    <phoneticPr fontId="2" type="noConversion"/>
  </si>
  <si>
    <t>其他業務外費用</t>
    <phoneticPr fontId="2" type="noConversion"/>
  </si>
  <si>
    <t xml:space="preserve">    2.百分比及前年度決算數細數之和與總數或略有出入，係四捨五入關係。以下各表同。</t>
    <phoneticPr fontId="2" type="noConversion"/>
  </si>
  <si>
    <t>稅捐與規費(強制費)</t>
    <phoneticPr fontId="2" type="noConversion"/>
  </si>
  <si>
    <t>收支餘絀預計表</t>
    <phoneticPr fontId="2" type="noConversion"/>
  </si>
  <si>
    <t>收支餘絀預計表說明</t>
    <phoneticPr fontId="2" type="noConversion"/>
  </si>
  <si>
    <t xml:space="preserve">    材料及用品費</t>
    <phoneticPr fontId="2" type="noConversion"/>
  </si>
  <si>
    <t xml:space="preserve">    稅捐與規費(強制費)</t>
    <phoneticPr fontId="2" type="noConversion"/>
  </si>
  <si>
    <t>15-16</t>
    <phoneticPr fontId="2" type="noConversion"/>
  </si>
  <si>
    <t>（二）明細表</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</si>
  <si>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</si>
  <si>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</si>
  <si>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</si>
  <si>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t xml:space="preserve">   5.勞務成本明細表及說明．．．．．．．．．．．．．．．．．．．．．．．．．．．．．．</t>
    <phoneticPr fontId="2" type="noConversion"/>
  </si>
  <si>
    <t xml:space="preserve">   6.其他業務成本明細表及說明．．．．．．．．．．．．．．．．．．．．．．．．．．．．．．</t>
    <phoneticPr fontId="2" type="noConversion"/>
  </si>
  <si>
    <t xml:space="preserve">   7.其他業務外費用明細表及說明．．．．．．．．．．．．．．．．．．．．．．．．．．．．．．</t>
    <phoneticPr fontId="2" type="noConversion"/>
  </si>
  <si>
    <t xml:space="preserve">   8.固定資產建設改良擴充明細表．．．．．．．．．．．．．．．．．．．．．．．．．</t>
    <phoneticPr fontId="2" type="noConversion"/>
  </si>
  <si>
    <t xml:space="preserve">   9.固定資產建設改良擴充資金來源明細表．．．．．．．．．．．．．．．．．．．．．．．．</t>
    <phoneticPr fontId="2" type="noConversion"/>
  </si>
  <si>
    <t xml:space="preserve">  10.固定資產建設改良擴充計畫預期進度明細表．．．．．．．．．．．．．．．．．．．．．</t>
    <phoneticPr fontId="2" type="noConversion"/>
  </si>
  <si>
    <t xml:space="preserve">  11.資產折舊明細表．．．．．．．．．．．．．．．．．．．．．．．．．．．．．．．．．．．．</t>
    <phoneticPr fontId="2" type="noConversion"/>
  </si>
  <si>
    <t xml:space="preserve">  12.基金數額增減明細表．．．．．．．．．．．．．．．．．．．．．．．．．．．．．．．．</t>
    <phoneticPr fontId="2" type="noConversion"/>
  </si>
  <si>
    <t xml:space="preserve">   2.５年來主要營運項目分析表．．．．．．．．．．．．．．．．．</t>
    <phoneticPr fontId="2" type="noConversion"/>
  </si>
  <si>
    <t xml:space="preserve">   3.員工人數彙計表．．．．．．．．．．．．．．．．．．．．．．</t>
    <phoneticPr fontId="2" type="noConversion"/>
  </si>
  <si>
    <t xml:space="preserve">   5.各項費用彙計表．．．．．．．．．．．．．．．．．．．．．．．．．．．．．．．29</t>
    <phoneticPr fontId="2" type="noConversion"/>
  </si>
  <si>
    <r>
      <t>　　</t>
    </r>
    <r>
      <rPr>
        <sz val="14"/>
        <rFont val="Times New Roman"/>
        <family val="1"/>
      </rPr>
      <t xml:space="preserve">   </t>
    </r>
    <r>
      <rPr>
        <sz val="14"/>
        <rFont val="標楷體"/>
        <family val="4"/>
        <charset val="136"/>
      </rPr>
      <t>辦理情形報告表．．．．．．．．．．．．．．．．．．．．．．</t>
    </r>
    <phoneticPr fontId="2" type="noConversion"/>
  </si>
  <si>
    <t>1-14</t>
    <phoneticPr fontId="2" type="noConversion"/>
  </si>
  <si>
    <t>度應付費用預估溢列數合計2,000千元。</t>
    <phoneticPr fontId="2" type="noConversion"/>
  </si>
  <si>
    <t>上年度預計增減資產原值</t>
    <phoneticPr fontId="14" type="noConversion"/>
  </si>
  <si>
    <t>本年度預計增減資產原值</t>
    <phoneticPr fontId="14" type="noConversion"/>
  </si>
  <si>
    <t>105年12月31日
實  際  數</t>
    <phoneticPr fontId="2" type="noConversion"/>
  </si>
  <si>
    <t>中華民國107年12月31日</t>
    <phoneticPr fontId="2" type="noConversion"/>
  </si>
  <si>
    <t>106年12月31日
預  計  數</t>
    <phoneticPr fontId="2" type="noConversion"/>
  </si>
  <si>
    <t>中華民國 107 年度</t>
    <phoneticPr fontId="14" type="noConversion"/>
  </si>
  <si>
    <t xml:space="preserve">    專利權</t>
    <phoneticPr fontId="5" type="noConversion"/>
  </si>
  <si>
    <t>中華民國 107 年度</t>
    <phoneticPr fontId="2" type="noConversion"/>
  </si>
  <si>
    <t xml:space="preserve">    其他攤銷費用</t>
    <phoneticPr fontId="2" type="noConversion"/>
  </si>
  <si>
    <t>107年12月31日
預  計  數</t>
    <phoneticPr fontId="2" type="noConversion"/>
  </si>
  <si>
    <t>中華民國 107 年度</t>
    <phoneticPr fontId="2" type="noConversion"/>
  </si>
  <si>
    <t>中華民國 107 年度</t>
    <phoneticPr fontId="2" type="noConversion"/>
  </si>
  <si>
    <t xml:space="preserve">    專門職業及技術人員特種考試</t>
    <phoneticPr fontId="2" type="noConversion"/>
  </si>
  <si>
    <t>本期其他綜合餘絀</t>
    <phoneticPr fontId="2" type="noConversion"/>
  </si>
  <si>
    <t>一、本期收支項目之說明：</t>
    <phoneticPr fontId="14" type="noConversion"/>
  </si>
  <si>
    <t>二、本期其他綜合餘絀之說明：無</t>
    <phoneticPr fontId="14" type="noConversion"/>
  </si>
  <si>
    <t xml:space="preserve">  不動產、廠房及設備折舊</t>
    <phoneticPr fontId="2" type="noConversion"/>
  </si>
  <si>
    <t xml:space="preserve">    電腦租金及使用費</t>
    <phoneticPr fontId="2" type="noConversion"/>
  </si>
  <si>
    <t xml:space="preserve">    電腦軟體服務費</t>
    <phoneticPr fontId="2" type="noConversion"/>
  </si>
  <si>
    <t>中華民國 107 年度</t>
    <phoneticPr fontId="2" type="noConversion"/>
  </si>
  <si>
    <t xml:space="preserve">  流動金融資產</t>
    <phoneticPr fontId="2" type="noConversion"/>
  </si>
  <si>
    <t xml:space="preserve">    其他金融資產-流動</t>
    <phoneticPr fontId="2" type="noConversion"/>
  </si>
  <si>
    <t>不動產、廠房及設備</t>
    <phoneticPr fontId="2" type="noConversion"/>
  </si>
  <si>
    <t xml:space="preserve">備註：信託代理與保證資產(負債)691千元，屬保證品(應付保證品)。     </t>
    <phoneticPr fontId="2" type="noConversion"/>
  </si>
  <si>
    <t xml:space="preserve"> </t>
    <phoneticPr fontId="2" type="noConversion"/>
  </si>
  <si>
    <t>賠（補）償收入</t>
    <phoneticPr fontId="2" type="noConversion"/>
  </si>
  <si>
    <t>違規罰款收入</t>
    <phoneticPr fontId="2" type="noConversion"/>
  </si>
  <si>
    <t>雜項收入</t>
    <phoneticPr fontId="2" type="noConversion"/>
  </si>
  <si>
    <t>報名費收入</t>
    <phoneticPr fontId="2" type="noConversion"/>
  </si>
  <si>
    <t>考選業務補助收入</t>
    <phoneticPr fontId="2" type="noConversion"/>
  </si>
  <si>
    <t>雜項業務收入</t>
    <phoneticPr fontId="2" type="noConversion"/>
  </si>
  <si>
    <t>試務成本</t>
    <phoneticPr fontId="2" type="noConversion"/>
  </si>
  <si>
    <t>雜項業務成本</t>
    <phoneticPr fontId="2" type="noConversion"/>
  </si>
  <si>
    <t>雜項費用</t>
    <phoneticPr fontId="2" type="noConversion"/>
  </si>
  <si>
    <t>勞務成本</t>
    <phoneticPr fontId="2" type="noConversion"/>
  </si>
  <si>
    <t>(一)業務收入639,908千元，包括：</t>
    <phoneticPr fontId="14" type="noConversion"/>
  </si>
  <si>
    <t>1.勞務收入638,809千元：係預計各類考試報名費收入。</t>
    <phoneticPr fontId="14" type="noConversion"/>
  </si>
  <si>
    <t>2.其他業務收入1,099千元：係預計各類考試應考人申請閱覽試卷及成績複查之收入。</t>
    <phoneticPr fontId="14" type="noConversion"/>
  </si>
  <si>
    <t>2.其他業務成本1,099千元：係辦理各類考試應考人申請閱覽試卷及成績複查之相關
  成本。</t>
    <phoneticPr fontId="14" type="noConversion"/>
  </si>
  <si>
    <t>1.財務收入1,700千元：係銀行存款利息收入。</t>
    <phoneticPr fontId="14" type="noConversion"/>
  </si>
  <si>
    <t>中華民國 107 年度</t>
    <phoneticPr fontId="14" type="noConversion"/>
  </si>
  <si>
    <t>中華民國 107 年度</t>
    <phoneticPr fontId="2" type="noConversion"/>
  </si>
  <si>
    <t>會計政策變動及前期錯誤更正累積影響數</t>
    <phoneticPr fontId="2" type="noConversion"/>
  </si>
  <si>
    <t>本期賸餘</t>
    <phoneticPr fontId="2" type="noConversion"/>
  </si>
  <si>
    <t>前期未分配賸餘</t>
    <phoneticPr fontId="2" type="noConversion"/>
  </si>
  <si>
    <t>公積轉列數</t>
    <phoneticPr fontId="2" type="noConversion"/>
  </si>
  <si>
    <t>中華民國 107年度</t>
    <phoneticPr fontId="2" type="noConversion"/>
  </si>
  <si>
    <t>係估列銀行存款利息收入1,700千元。</t>
    <phoneticPr fontId="2" type="noConversion"/>
  </si>
  <si>
    <r>
      <t xml:space="preserve">    </t>
    </r>
    <r>
      <rPr>
        <sz val="12"/>
        <color indexed="8"/>
        <rFont val="標楷體"/>
        <family val="4"/>
        <charset val="136"/>
      </rPr>
      <t xml:space="preserve">不動產、廠房及設備
</t>
    </r>
    <r>
      <rPr>
        <sz val="12"/>
        <color indexed="8"/>
        <rFont val="Times New Roman"/>
        <family val="1"/>
      </rPr>
      <t xml:space="preserve">    </t>
    </r>
    <r>
      <rPr>
        <sz val="12"/>
        <color indexed="8"/>
        <rFont val="標楷體"/>
        <family val="4"/>
        <charset val="136"/>
      </rPr>
      <t>折舊</t>
    </r>
    <phoneticPr fontId="2" type="noConversion"/>
  </si>
  <si>
    <t xml:space="preserve">  利息股利之調整</t>
    <phoneticPr fontId="2" type="noConversion"/>
  </si>
  <si>
    <t>係調整利息收入1,700千元。</t>
    <phoneticPr fontId="2" type="noConversion"/>
  </si>
  <si>
    <r>
      <t xml:space="preserve">    折舊</t>
    </r>
    <r>
      <rPr>
        <sz val="12"/>
        <color rgb="FF0000FF"/>
        <rFont val="標楷體"/>
        <family val="4"/>
        <charset val="136"/>
      </rPr>
      <t>、減損</t>
    </r>
    <r>
      <rPr>
        <sz val="12"/>
        <color indexed="8"/>
        <rFont val="標楷體"/>
        <family val="4"/>
        <charset val="136"/>
      </rPr>
      <t>及折耗</t>
    </r>
    <phoneticPr fontId="2" type="noConversion"/>
  </si>
  <si>
    <t xml:space="preserve">  未計利息股利之本期賸餘(短絀-)</t>
    <phoneticPr fontId="2" type="noConversion"/>
  </si>
  <si>
    <t xml:space="preserve">  未計利息股利之現金流入(流出-)</t>
    <phoneticPr fontId="2" type="noConversion"/>
  </si>
  <si>
    <t xml:space="preserve">  收取利息</t>
    <phoneticPr fontId="2" type="noConversion"/>
  </si>
  <si>
    <t xml:space="preserve">    增加不動產、廠房及設備</t>
    <phoneticPr fontId="2" type="noConversion"/>
  </si>
  <si>
    <t xml:space="preserve">  減少無形資產及其他資產</t>
    <phoneticPr fontId="2" type="noConversion"/>
  </si>
  <si>
    <t>增加機械及設備20,877千元及</t>
    <phoneticPr fontId="2" type="noConversion"/>
  </si>
  <si>
    <t>什項設備2,709千元。</t>
    <phoneticPr fontId="2" type="noConversion"/>
  </si>
  <si>
    <t>減少存出保證金2千元。</t>
    <phoneticPr fontId="2" type="noConversion"/>
  </si>
  <si>
    <t>包括：折舊19,994千元；攤銷</t>
    <phoneticPr fontId="2" type="noConversion"/>
  </si>
  <si>
    <t>20,006千元；流動資產淨減</t>
    <phoneticPr fontId="2" type="noConversion"/>
  </si>
  <si>
    <t>4,312千元；流動負債淨減</t>
    <phoneticPr fontId="2" type="noConversion"/>
  </si>
  <si>
    <t>2,224千元。</t>
    <phoneticPr fontId="2" type="noConversion"/>
  </si>
  <si>
    <t>減少存入保證金2,243千元及暫</t>
    <phoneticPr fontId="2" type="noConversion"/>
  </si>
  <si>
    <t>收及待結轉帳項3,650千元。</t>
    <phoneticPr fontId="2" type="noConversion"/>
  </si>
  <si>
    <t>中華民國 107 年度</t>
    <phoneticPr fontId="2" type="noConversion"/>
  </si>
  <si>
    <t xml:space="preserve">    電腦軟體服務費</t>
    <phoneticPr fontId="2" type="noConversion"/>
  </si>
  <si>
    <t xml:space="preserve">    電腦租金及使用費</t>
    <phoneticPr fontId="2" type="noConversion"/>
  </si>
  <si>
    <t xml:space="preserve">  不動產、廠房及設備折舊</t>
    <phoneticPr fontId="2" type="noConversion"/>
  </si>
  <si>
    <t>中華民國 107年度</t>
    <phoneticPr fontId="14" type="noConversion"/>
  </si>
  <si>
    <t>中華民國 107 年度</t>
    <phoneticPr fontId="8" type="noConversion"/>
  </si>
  <si>
    <t>103年度決算數</t>
    <phoneticPr fontId="14" type="noConversion"/>
  </si>
  <si>
    <t>104年度決算數</t>
    <phoneticPr fontId="14" type="noConversion"/>
  </si>
  <si>
    <t>　　　　時人員119人及不定期契約臨時人員70人。</t>
    <phoneticPr fontId="14" type="noConversion"/>
  </si>
  <si>
    <t>　　　　定期契約臨時人員346人、90至180天定期契約臨時人員70人、181天至1年定期契約臨</t>
    <phoneticPr fontId="14" type="noConversion"/>
  </si>
  <si>
    <t>中華民國 107年度</t>
    <phoneticPr fontId="8" type="noConversion"/>
  </si>
  <si>
    <t>107 年度</t>
    <phoneticPr fontId="8" type="noConversion"/>
  </si>
  <si>
    <t xml:space="preserve">  調整項目</t>
    <phoneticPr fontId="2" type="noConversion"/>
  </si>
  <si>
    <t>1.勞務成本628,750千元：係辦理各項考試所發生之必要成本。</t>
    <phoneticPr fontId="14" type="noConversion"/>
  </si>
  <si>
    <t>(二)業務成本與費用629,849千元，包括：</t>
    <phoneticPr fontId="14" type="noConversion"/>
  </si>
  <si>
    <t xml:space="preserve">(三)業務收入與業務成本與費用相抵，本年度之業務賸餘為10,059千元。     </t>
    <phoneticPr fontId="14" type="noConversion"/>
  </si>
  <si>
    <t>(六)綜上，本期賸餘為13,699千元。</t>
    <phoneticPr fontId="14" type="noConversion"/>
  </si>
  <si>
    <t xml:space="preserve">      不動產、廠房及設備折舊</t>
    <phoneticPr fontId="2" type="noConversion"/>
  </si>
  <si>
    <t xml:space="preserve">      攤銷</t>
    <phoneticPr fontId="2" type="noConversion"/>
  </si>
  <si>
    <t>係應考人退費支票逾期未兌領款項及以前年</t>
    <phoneticPr fontId="2" type="noConversion"/>
  </si>
  <si>
    <t>2.其他業務外收入2,000千元：係應考人退費支票逾期未兌領款項及以前年度應付費用
  預估溢列數。</t>
    <phoneticPr fontId="14" type="noConversion"/>
  </si>
  <si>
    <t xml:space="preserve"> 107年度</t>
    <phoneticPr fontId="14" type="noConversion"/>
  </si>
  <si>
    <r>
      <t xml:space="preserve">  </t>
    </r>
    <r>
      <rPr>
        <sz val="12"/>
        <rFont val="標楷體"/>
        <family val="4"/>
        <charset val="136"/>
      </rPr>
      <t xml:space="preserve"> 107.1~107.12</t>
    </r>
    <phoneticPr fontId="14" type="noConversion"/>
  </si>
  <si>
    <t>中華民國 107 年度</t>
    <phoneticPr fontId="14" type="noConversion"/>
  </si>
  <si>
    <t>(四)業務外收入3,700千元，包括：</t>
    <phoneticPr fontId="14" type="noConversion"/>
  </si>
  <si>
    <t>(五)業務外費用60千元：係以前年度應考人申請退還報名費支票逾期未兌領，重新再申
    請補開支票之費用。</t>
    <phoneticPr fontId="14" type="noConversion"/>
  </si>
  <si>
    <t>中華民國 107 年度</t>
    <phoneticPr fontId="14" type="noConversion"/>
  </si>
  <si>
    <t>107年度預算</t>
    <phoneticPr fontId="14" type="noConversion"/>
  </si>
  <si>
    <t>107年度預算</t>
    <phoneticPr fontId="14" type="noConversion"/>
  </si>
  <si>
    <t>107年度固定資產建設改良擴充及資金來源（圖1）</t>
    <phoneticPr fontId="2" type="noConversion"/>
  </si>
  <si>
    <t>不動產、廠房及設備</t>
    <phoneticPr fontId="2" type="noConversion"/>
  </si>
  <si>
    <t>營運資金</t>
    <phoneticPr fontId="14" type="noConversion"/>
  </si>
  <si>
    <t>107年度收入、成本與費用及賸餘（圖2）</t>
    <phoneticPr fontId="2" type="noConversion"/>
  </si>
  <si>
    <t>註：103至105年度決算數為審定決算數；106年度為預算案數。</t>
    <phoneticPr fontId="3" type="noConversion"/>
  </si>
  <si>
    <t>103年度決算</t>
    <phoneticPr fontId="14" type="noConversion"/>
  </si>
  <si>
    <t>104年度決算</t>
    <phoneticPr fontId="14" type="noConversion"/>
  </si>
  <si>
    <t>105年度決算</t>
    <phoneticPr fontId="14" type="noConversion"/>
  </si>
  <si>
    <t>106年度預算</t>
    <phoneticPr fontId="14" type="noConversion"/>
  </si>
  <si>
    <t>107 年 度 賸 餘 分 配 （圖4）</t>
    <phoneticPr fontId="2" type="noConversion"/>
  </si>
  <si>
    <t>107年度預算</t>
    <phoneticPr fontId="2" type="noConversion"/>
  </si>
  <si>
    <t xml:space="preserve">  增加無形資產及其他資產</t>
    <phoneticPr fontId="2" type="noConversion"/>
  </si>
  <si>
    <t xml:space="preserve">    增加無形資產</t>
    <phoneticPr fontId="2" type="noConversion"/>
  </si>
  <si>
    <t xml:space="preserve">    投資活動之淨現金流入(流出-)</t>
    <phoneticPr fontId="2" type="noConversion"/>
  </si>
  <si>
    <t>籌資活動之現金流量</t>
    <phoneticPr fontId="2" type="noConversion"/>
  </si>
  <si>
    <t xml:space="preserve">  增加短期債務、流動金融負債及其他負債</t>
    <phoneticPr fontId="2" type="noConversion"/>
  </si>
  <si>
    <t xml:space="preserve">  減少短期債務、流動金融負債及其他負債</t>
    <phoneticPr fontId="2" type="noConversion"/>
  </si>
  <si>
    <t xml:space="preserve">    籌資活動之淨現金流入(流出-)</t>
    <phoneticPr fontId="2" type="noConversion"/>
  </si>
  <si>
    <t xml:space="preserve">    減少其他資產</t>
    <phoneticPr fontId="2" type="noConversion"/>
  </si>
  <si>
    <t xml:space="preserve">  增加不動產、廠房及設備及礦產資源</t>
    <phoneticPr fontId="2" type="noConversion"/>
  </si>
  <si>
    <t>　　　1.辦理各項考試業務按試務期程所需彈性進退之按日計時臨時人員，預計進用90天以內</t>
    <phoneticPr fontId="14" type="noConversion"/>
  </si>
  <si>
    <t>　　　2.清潔外包部分之承攬人力7人、電腦維護、網路維運及機房管理委外之承攬人力1人。</t>
    <phoneticPr fontId="14" type="noConversion"/>
  </si>
  <si>
    <t>　　　3.入闈及考試期間委託醫事人員服務25人次。</t>
    <phoneticPr fontId="14" type="noConversion"/>
  </si>
  <si>
    <t>不動產、廠房及設備</t>
    <phoneticPr fontId="14" type="noConversion"/>
  </si>
  <si>
    <t>投資性不動產</t>
    <phoneticPr fontId="14" type="noConversion"/>
  </si>
  <si>
    <t>其他</t>
    <phoneticPr fontId="14" type="noConversion"/>
  </si>
  <si>
    <t>註：1.本年度預算數係依行政院主計總處核定作業基金採用企業會計準則適用科(項)目編製之數；前年度決算數為
      審定決算數、上年度預算數為預算案數，並配合導入企業會計準則科目重分類之數。</t>
    <phoneticPr fontId="2" type="noConversion"/>
  </si>
  <si>
    <t xml:space="preserve">  解繳公庫淨額</t>
    <phoneticPr fontId="2" type="noConversion"/>
  </si>
  <si>
    <t>　公庫撥款</t>
    <phoneticPr fontId="2" type="noConversion"/>
  </si>
  <si>
    <t>　　折減基金繳庫</t>
    <phoneticPr fontId="14" type="noConversion"/>
  </si>
  <si>
    <t>23-25</t>
    <phoneticPr fontId="2" type="noConversion"/>
  </si>
  <si>
    <t>26-27</t>
    <phoneticPr fontId="2" type="noConversion"/>
  </si>
  <si>
    <t>28-29</t>
    <phoneticPr fontId="2" type="noConversion"/>
  </si>
  <si>
    <t>32-33</t>
    <phoneticPr fontId="2" type="noConversion"/>
  </si>
  <si>
    <t>40-41</t>
    <phoneticPr fontId="2" type="noConversion"/>
  </si>
  <si>
    <t>　　　1.辦理各項考試業務所需支付按日計時之臨時人員之工資60,985千元，編列於一般服  務費項下之計時與計件人員酬金科目。</t>
    <phoneticPr fontId="14" type="noConversion"/>
  </si>
  <si>
    <t>　　　2.清潔外包之勞務承攬3,820千元、電腦維護、網路維運及機房管理委外承攬923千元  ，編列於一般服務費項下之外包費科目。</t>
    <phoneticPr fontId="14" type="noConversion"/>
  </si>
  <si>
    <t>　　　3.入闈及考試期間委託醫事人員服務之服務費292千元，編列於專業服務費項下之專技  人員酬金科目。</t>
    <phoneticPr fontId="14" type="noConversion"/>
  </si>
  <si>
    <t>中華民國107年度</t>
    <phoneticPr fontId="2" type="noConversion"/>
  </si>
  <si>
    <t xml:space="preserve">   1.收支餘絀預計表及說明．．．．．．．．．．．．．．．．．．．．．</t>
    <phoneticPr fontId="2" type="noConversion"/>
  </si>
  <si>
    <t>待填補之短絀</t>
    <phoneticPr fontId="2" type="noConversion"/>
  </si>
  <si>
    <t>小  計</t>
    <phoneticPr fontId="14" type="noConversion"/>
  </si>
  <si>
    <t>不動產、廠房及設備</t>
    <phoneticPr fontId="14" type="noConversion"/>
  </si>
  <si>
    <t>投資性不動產</t>
    <phoneticPr fontId="14" type="noConversion"/>
  </si>
  <si>
    <t>計畫</t>
    <phoneticPr fontId="14" type="noConversion"/>
  </si>
  <si>
    <t>一般建築及設備</t>
    <phoneticPr fontId="14" type="noConversion"/>
  </si>
  <si>
    <t>合  計</t>
    <phoneticPr fontId="14" type="noConversion"/>
  </si>
  <si>
    <t>資金來源</t>
    <phoneticPr fontId="14" type="noConversion"/>
  </si>
  <si>
    <t>投資總額</t>
    <phoneticPr fontId="14" type="noConversion"/>
  </si>
</sst>
</file>

<file path=xl/styles.xml><?xml version="1.0" encoding="utf-8"?>
<styleSheet xmlns="http://schemas.openxmlformats.org/spreadsheetml/2006/main">
  <numFmts count="11">
    <numFmt numFmtId="41" formatCode="_-* #,##0_-;\-* #,##0_-;_-* &quot;-&quot;_-;_-@_-"/>
    <numFmt numFmtId="43" formatCode="_-* #,##0.00_-;\-* #,##0.00_-;_-* &quot;-&quot;??_-;_-@_-"/>
    <numFmt numFmtId="176" formatCode="0.00_ "/>
    <numFmt numFmtId="177" formatCode="_-* #,##0_-;\-* #,##0_-;_-* &quot;-&quot;??_-;_-@_-"/>
    <numFmt numFmtId="178" formatCode="#,##0_ "/>
    <numFmt numFmtId="179" formatCode="#,##0_ ;[Red]\-#,##0\ "/>
    <numFmt numFmtId="180" formatCode="#,##0_);[Red]\(#,##0\)"/>
    <numFmt numFmtId="181" formatCode="_-* #,##0.00_-;\-* #,##0.00_-;_-* &quot;-&quot;_-;_-@_-"/>
    <numFmt numFmtId="182" formatCode="_(&quot;$&quot;* #,##0_);_(&quot;$&quot;* \(#,##0\);_(&quot;$&quot;* &quot;-&quot;_);_(@_)"/>
    <numFmt numFmtId="183" formatCode="#,##0.00_ "/>
    <numFmt numFmtId="184" formatCode="#,##0.00_);[Red]\(#,##0.00\)"/>
  </numFmts>
  <fonts count="89">
    <font>
      <sz val="12"/>
      <name val="新細明體"/>
      <family val="1"/>
      <charset val="136"/>
    </font>
    <font>
      <sz val="12"/>
      <name val="新細明體"/>
      <family val="1"/>
      <charset val="136"/>
    </font>
    <font>
      <sz val="9"/>
      <name val="細明體"/>
      <family val="3"/>
      <charset val="136"/>
    </font>
    <font>
      <sz val="12"/>
      <name val="Times New Roman"/>
      <family val="1"/>
    </font>
    <font>
      <sz val="11"/>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1"/>
      <color indexed="10"/>
      <name val="標楷體"/>
      <family val="4"/>
      <charset val="136"/>
    </font>
    <font>
      <sz val="11"/>
      <color indexed="10"/>
      <name val="Times New Roman"/>
      <family val="1"/>
    </font>
    <font>
      <sz val="16"/>
      <name val="新細明體"/>
      <family val="1"/>
      <charset val="136"/>
    </font>
    <font>
      <b/>
      <sz val="12"/>
      <name val="Arial"/>
      <family val="2"/>
    </font>
    <font>
      <b/>
      <i/>
      <sz val="10"/>
      <name val="Times New Roman"/>
      <family val="1"/>
    </font>
    <font>
      <sz val="24"/>
      <name val="標楷體"/>
      <family val="4"/>
      <charset val="136"/>
    </font>
    <font>
      <sz val="24"/>
      <name val="Times New Roman"/>
      <family val="1"/>
    </font>
    <font>
      <sz val="18"/>
      <name val="Times New Roman"/>
      <family val="1"/>
    </font>
    <font>
      <sz val="11"/>
      <color indexed="12"/>
      <name val="標楷體"/>
      <family val="4"/>
      <charset val="136"/>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2"/>
      <color indexed="10"/>
      <name val="標楷體"/>
      <family val="4"/>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b/>
      <sz val="12"/>
      <name val="Times New Roman"/>
      <family val="1"/>
    </font>
    <font>
      <sz val="12"/>
      <name val="新細明體"/>
      <family val="1"/>
      <charset val="136"/>
    </font>
    <font>
      <sz val="14"/>
      <name val="Times New Roman"/>
      <family val="1"/>
    </font>
    <font>
      <sz val="12"/>
      <color indexed="10"/>
      <name val="新細明體"/>
      <family val="1"/>
      <charset val="136"/>
    </font>
    <font>
      <sz val="12"/>
      <color indexed="12"/>
      <name val="標楷體"/>
      <family val="4"/>
      <charset val="136"/>
    </font>
    <font>
      <sz val="12"/>
      <color indexed="20"/>
      <name val="標楷體"/>
      <family val="4"/>
      <charset val="136"/>
    </font>
    <font>
      <sz val="12"/>
      <color rgb="FFFF0000"/>
      <name val="標楷體"/>
      <family val="4"/>
      <charset val="136"/>
    </font>
    <font>
      <sz val="9"/>
      <color indexed="81"/>
      <name val="Tahoma"/>
      <family val="2"/>
    </font>
    <font>
      <b/>
      <sz val="9"/>
      <color indexed="81"/>
      <name val="Tahoma"/>
      <family val="2"/>
    </font>
    <font>
      <sz val="9"/>
      <color indexed="81"/>
      <name val="細明體"/>
      <family val="3"/>
      <charset val="136"/>
    </font>
    <font>
      <sz val="10"/>
      <name val="Times New Roman"/>
      <family val="1"/>
    </font>
    <font>
      <sz val="12"/>
      <color rgb="FF0000FF"/>
      <name val="標楷體"/>
      <family val="4"/>
      <charset val="136"/>
    </font>
    <font>
      <sz val="11"/>
      <color rgb="FF0000FF"/>
      <name val="標楷體"/>
      <family val="4"/>
      <charset val="136"/>
    </font>
  </fonts>
  <fills count="8">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000"/>
        <bgColor indexed="64"/>
      </patternFill>
    </fill>
    <fill>
      <patternFill patternType="solid">
        <fgColor rgb="FFFFFF00"/>
        <bgColor indexed="64"/>
      </patternFill>
    </fill>
    <fill>
      <patternFill patternType="solid">
        <fgColor rgb="FFFFCCCC"/>
        <bgColor indexed="64"/>
      </patternFill>
    </fill>
  </fills>
  <borders count="6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s>
  <cellStyleXfs count="9">
    <xf numFmtId="0" fontId="0" fillId="0" borderId="0"/>
    <xf numFmtId="0" fontId="51" fillId="0" borderId="1" applyNumberFormat="0" applyAlignment="0" applyProtection="0">
      <alignment horizontal="left" vertical="center"/>
    </xf>
    <xf numFmtId="0" fontId="51" fillId="0" borderId="2">
      <alignment horizontal="left" vertical="center"/>
    </xf>
    <xf numFmtId="0" fontId="52"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2" fontId="3" fillId="0" borderId="0" applyFont="0" applyFill="0" applyBorder="0" applyAlignment="0" applyProtection="0"/>
    <xf numFmtId="0" fontId="1" fillId="0" borderId="0"/>
  </cellStyleXfs>
  <cellXfs count="1326">
    <xf numFmtId="0" fontId="0" fillId="0" borderId="0" xfId="0"/>
    <xf numFmtId="0" fontId="5" fillId="0" borderId="0" xfId="0" applyFont="1"/>
    <xf numFmtId="0" fontId="5" fillId="0" borderId="3" xfId="0" applyFont="1" applyBorder="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5" fillId="0" borderId="4" xfId="0" applyFont="1" applyBorder="1"/>
    <xf numFmtId="177" fontId="5" fillId="0" borderId="5" xfId="4" applyNumberFormat="1" applyFont="1" applyBorder="1"/>
    <xf numFmtId="0" fontId="5" fillId="0" borderId="5" xfId="0" applyFont="1" applyBorder="1"/>
    <xf numFmtId="0" fontId="9" fillId="0" borderId="0" xfId="0" applyFont="1"/>
    <xf numFmtId="0" fontId="5" fillId="0" borderId="0" xfId="0" applyFont="1" applyBorder="1"/>
    <xf numFmtId="0" fontId="5" fillId="0" borderId="0" xfId="0" applyFont="1" applyAlignment="1">
      <alignment horizontal="right"/>
    </xf>
    <xf numFmtId="0" fontId="15" fillId="0" borderId="0" xfId="0" applyFont="1" applyAlignment="1">
      <alignment horizontal="center"/>
    </xf>
    <xf numFmtId="0" fontId="20" fillId="0" borderId="8" xfId="0" applyFont="1" applyBorder="1"/>
    <xf numFmtId="0" fontId="5" fillId="0" borderId="3" xfId="0" applyFont="1" applyBorder="1" applyAlignment="1">
      <alignment horizontal="center" vertical="center"/>
    </xf>
    <xf numFmtId="49" fontId="5"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5" fillId="0" borderId="12" xfId="0" applyFont="1" applyBorder="1"/>
    <xf numFmtId="0" fontId="5" fillId="0" borderId="13" xfId="0" applyFont="1" applyBorder="1"/>
    <xf numFmtId="0" fontId="5" fillId="0" borderId="14" xfId="0" applyFont="1" applyBorder="1"/>
    <xf numFmtId="0" fontId="9" fillId="0" borderId="0" xfId="0" applyFont="1" applyBorder="1" applyAlignment="1">
      <alignment horizontal="center"/>
    </xf>
    <xf numFmtId="0" fontId="9" fillId="0" borderId="0" xfId="0" applyFont="1" applyAlignment="1">
      <alignment horizontal="right"/>
    </xf>
    <xf numFmtId="0" fontId="5" fillId="0" borderId="5" xfId="0" applyFont="1" applyBorder="1" applyAlignment="1">
      <alignment vertical="top"/>
    </xf>
    <xf numFmtId="0" fontId="5" fillId="0" borderId="0" xfId="0" applyFont="1" applyBorder="1" applyAlignment="1">
      <alignment vertical="top"/>
    </xf>
    <xf numFmtId="0" fontId="25" fillId="0" borderId="6" xfId="0" applyFont="1" applyFill="1" applyBorder="1" applyAlignment="1">
      <alignment horizontal="left"/>
    </xf>
    <xf numFmtId="177" fontId="24" fillId="0" borderId="16" xfId="4" applyNumberFormat="1" applyFont="1" applyFill="1" applyBorder="1"/>
    <xf numFmtId="0" fontId="5" fillId="0" borderId="17" xfId="0" applyFont="1" applyBorder="1"/>
    <xf numFmtId="0" fontId="5" fillId="0" borderId="0" xfId="0" applyFont="1" applyAlignment="1">
      <alignment vertical="top"/>
    </xf>
    <xf numFmtId="0" fontId="5" fillId="0" borderId="18" xfId="0" applyFont="1" applyBorder="1"/>
    <xf numFmtId="41" fontId="5" fillId="0" borderId="5" xfId="5" applyFont="1" applyBorder="1" applyAlignment="1">
      <alignment vertical="top" wrapText="1"/>
    </xf>
    <xf numFmtId="177" fontId="24" fillId="2" borderId="5" xfId="4" applyNumberFormat="1" applyFont="1" applyFill="1" applyBorder="1"/>
    <xf numFmtId="10" fontId="24" fillId="2" borderId="5" xfId="4" applyNumberFormat="1" applyFont="1" applyFill="1" applyBorder="1"/>
    <xf numFmtId="177" fontId="24" fillId="0" borderId="16" xfId="0" applyNumberFormat="1" applyFont="1" applyFill="1" applyBorder="1" applyAlignment="1">
      <alignment horizontal="center"/>
    </xf>
    <xf numFmtId="0" fontId="31" fillId="0" borderId="0" xfId="0" applyFont="1" applyFill="1"/>
    <xf numFmtId="0" fontId="32" fillId="0" borderId="0" xfId="0" applyFont="1"/>
    <xf numFmtId="177" fontId="24" fillId="0" borderId="5" xfId="4" applyNumberFormat="1" applyFont="1" applyBorder="1"/>
    <xf numFmtId="0" fontId="31" fillId="0" borderId="0" xfId="0" applyFont="1" applyAlignment="1">
      <alignment horizontal="center"/>
    </xf>
    <xf numFmtId="0" fontId="34" fillId="0" borderId="0" xfId="0" applyFont="1" applyAlignment="1">
      <alignment horizontal="center"/>
    </xf>
    <xf numFmtId="0" fontId="37" fillId="0" borderId="0" xfId="0" applyFont="1" applyAlignment="1">
      <alignment horizontal="center"/>
    </xf>
    <xf numFmtId="0" fontId="24" fillId="0" borderId="0" xfId="0" applyFont="1" applyAlignment="1">
      <alignment horizontal="center"/>
    </xf>
    <xf numFmtId="0" fontId="24" fillId="0" borderId="0" xfId="0" applyFont="1" applyAlignment="1">
      <alignment horizontal="right"/>
    </xf>
    <xf numFmtId="0" fontId="31" fillId="0" borderId="0" xfId="0" applyFont="1"/>
    <xf numFmtId="177" fontId="24" fillId="0" borderId="0" xfId="4" applyNumberFormat="1" applyFont="1" applyFill="1" applyBorder="1"/>
    <xf numFmtId="0" fontId="24" fillId="0" borderId="0" xfId="0" applyFont="1" applyFill="1" applyBorder="1"/>
    <xf numFmtId="0" fontId="24" fillId="0" borderId="6" xfId="0" applyFont="1" applyFill="1" applyBorder="1"/>
    <xf numFmtId="0" fontId="32" fillId="0" borderId="0" xfId="0" applyFont="1" applyAlignment="1">
      <alignment horizontal="center"/>
    </xf>
    <xf numFmtId="0" fontId="35" fillId="0" borderId="0" xfId="0" applyFont="1" applyFill="1" applyBorder="1" applyAlignment="1">
      <alignment horizontal="left"/>
    </xf>
    <xf numFmtId="0" fontId="24" fillId="0" borderId="0" xfId="0" applyFont="1" applyFill="1" applyBorder="1" applyAlignment="1">
      <alignment horizontal="center"/>
    </xf>
    <xf numFmtId="0" fontId="24" fillId="0" borderId="0" xfId="0" applyFont="1"/>
    <xf numFmtId="0" fontId="24" fillId="0" borderId="5" xfId="0" applyFont="1" applyFill="1" applyBorder="1"/>
    <xf numFmtId="0" fontId="25" fillId="0" borderId="6" xfId="0" applyFont="1" applyFill="1" applyBorder="1" applyAlignment="1"/>
    <xf numFmtId="0" fontId="30" fillId="0" borderId="0" xfId="0" applyFont="1"/>
    <xf numFmtId="0" fontId="25" fillId="0" borderId="6" xfId="0" applyFont="1" applyFill="1" applyBorder="1"/>
    <xf numFmtId="0" fontId="28" fillId="0" borderId="5" xfId="0" applyFont="1" applyFill="1" applyBorder="1"/>
    <xf numFmtId="0" fontId="28" fillId="0" borderId="6" xfId="0" applyFont="1" applyFill="1" applyBorder="1"/>
    <xf numFmtId="0" fontId="23" fillId="2" borderId="0" xfId="0" applyFont="1" applyFill="1"/>
    <xf numFmtId="0" fontId="31" fillId="2" borderId="4" xfId="0" applyFont="1" applyFill="1" applyBorder="1" applyAlignment="1">
      <alignment horizontal="center" vertical="center"/>
    </xf>
    <xf numFmtId="0" fontId="31" fillId="2" borderId="0" xfId="0" applyFont="1" applyFill="1"/>
    <xf numFmtId="0" fontId="24" fillId="2" borderId="7" xfId="0" applyFont="1" applyFill="1" applyBorder="1" applyAlignment="1">
      <alignment horizontal="left"/>
    </xf>
    <xf numFmtId="0" fontId="24" fillId="2" borderId="7" xfId="0" applyFont="1" applyFill="1" applyBorder="1" applyAlignment="1">
      <alignment horizontal="center"/>
    </xf>
    <xf numFmtId="0" fontId="24" fillId="2" borderId="5" xfId="0" applyFont="1" applyFill="1" applyBorder="1"/>
    <xf numFmtId="177" fontId="24" fillId="2" borderId="5" xfId="0" applyNumberFormat="1" applyFont="1" applyFill="1" applyBorder="1"/>
    <xf numFmtId="0" fontId="39" fillId="2" borderId="7" xfId="0" applyFont="1" applyFill="1" applyBorder="1" applyAlignment="1">
      <alignment horizontal="left"/>
    </xf>
    <xf numFmtId="177" fontId="39" fillId="2" borderId="5" xfId="4" applyNumberFormat="1" applyFont="1" applyFill="1" applyBorder="1"/>
    <xf numFmtId="0" fontId="39" fillId="2" borderId="5" xfId="0" applyFont="1" applyFill="1" applyBorder="1"/>
    <xf numFmtId="0" fontId="31" fillId="2" borderId="7" xfId="0" applyFont="1" applyFill="1" applyBorder="1" applyAlignment="1">
      <alignment horizontal="left" vertical="top"/>
    </xf>
    <xf numFmtId="177" fontId="24" fillId="0" borderId="7" xfId="4" applyNumberFormat="1" applyFont="1" applyBorder="1"/>
    <xf numFmtId="0" fontId="30" fillId="0" borderId="0" xfId="0" applyFont="1" applyBorder="1"/>
    <xf numFmtId="0" fontId="23" fillId="0" borderId="0" xfId="0" applyFont="1" applyBorder="1"/>
    <xf numFmtId="0" fontId="24" fillId="0" borderId="7" xfId="0" applyFont="1" applyBorder="1"/>
    <xf numFmtId="0" fontId="30" fillId="0" borderId="4" xfId="0" applyFont="1" applyBorder="1"/>
    <xf numFmtId="41" fontId="24" fillId="0" borderId="6" xfId="0" applyNumberFormat="1" applyFont="1" applyFill="1" applyBorder="1"/>
    <xf numFmtId="41" fontId="32" fillId="0" borderId="0" xfId="0" applyNumberFormat="1" applyFont="1"/>
    <xf numFmtId="0" fontId="23" fillId="0" borderId="0" xfId="0" applyFont="1"/>
    <xf numFmtId="0" fontId="32" fillId="0" borderId="19" xfId="0" applyFont="1" applyBorder="1" applyAlignment="1">
      <alignment horizontal="center"/>
    </xf>
    <xf numFmtId="0" fontId="31" fillId="0" borderId="12" xfId="0" applyFont="1" applyBorder="1" applyAlignment="1">
      <alignment horizontal="center"/>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0" xfId="0" applyFont="1" applyFill="1" applyBorder="1" applyAlignment="1"/>
    <xf numFmtId="0" fontId="28" fillId="0" borderId="0" xfId="0" applyFont="1" applyFill="1" applyBorder="1" applyAlignment="1">
      <alignment horizontal="left"/>
    </xf>
    <xf numFmtId="0" fontId="33" fillId="0" borderId="6" xfId="0" applyFont="1" applyFill="1" applyBorder="1"/>
    <xf numFmtId="0" fontId="25" fillId="0" borderId="0" xfId="0" applyFont="1" applyFill="1" applyBorder="1"/>
    <xf numFmtId="0" fontId="30" fillId="0" borderId="0" xfId="0" applyFont="1" applyFill="1" applyBorder="1"/>
    <xf numFmtId="0" fontId="32" fillId="0" borderId="20" xfId="0" applyFont="1" applyBorder="1"/>
    <xf numFmtId="0" fontId="32" fillId="0" borderId="0" xfId="0" applyFont="1" applyFill="1"/>
    <xf numFmtId="43" fontId="30" fillId="0" borderId="0" xfId="4" applyFont="1"/>
    <xf numFmtId="0" fontId="31" fillId="0" borderId="6" xfId="0" applyFont="1" applyFill="1" applyBorder="1"/>
    <xf numFmtId="0" fontId="31" fillId="0" borderId="3" xfId="0" applyFont="1" applyBorder="1" applyAlignment="1">
      <alignment horizontal="center" vertical="center"/>
    </xf>
    <xf numFmtId="0" fontId="28" fillId="0" borderId="0" xfId="0" applyFont="1" applyFill="1" applyBorder="1"/>
    <xf numFmtId="177" fontId="24" fillId="0" borderId="0" xfId="4" applyNumberFormat="1" applyFont="1" applyBorder="1"/>
    <xf numFmtId="177" fontId="31" fillId="0" borderId="0" xfId="4" applyNumberFormat="1" applyFont="1" applyBorder="1"/>
    <xf numFmtId="0" fontId="31" fillId="0" borderId="0" xfId="0" applyFont="1" applyAlignment="1">
      <alignment horizontal="right"/>
    </xf>
    <xf numFmtId="0" fontId="31" fillId="0" borderId="0" xfId="0" applyFont="1" applyBorder="1"/>
    <xf numFmtId="0" fontId="31" fillId="0" borderId="8" xfId="0" applyFont="1" applyBorder="1"/>
    <xf numFmtId="41" fontId="31" fillId="0" borderId="0" xfId="0" applyNumberFormat="1" applyFont="1"/>
    <xf numFmtId="0" fontId="44" fillId="0" borderId="0" xfId="0" applyFont="1"/>
    <xf numFmtId="0" fontId="28" fillId="0" borderId="0" xfId="0" applyFont="1"/>
    <xf numFmtId="0" fontId="29" fillId="0" borderId="0" xfId="0" applyFont="1"/>
    <xf numFmtId="0" fontId="31" fillId="0" borderId="11" xfId="0" applyFont="1" applyBorder="1"/>
    <xf numFmtId="41" fontId="24" fillId="0" borderId="16" xfId="4" applyNumberFormat="1" applyFont="1" applyFill="1" applyBorder="1"/>
    <xf numFmtId="0" fontId="5" fillId="0" borderId="21" xfId="0" applyFont="1" applyBorder="1"/>
    <xf numFmtId="0" fontId="5" fillId="0" borderId="22" xfId="0" applyFont="1" applyBorder="1"/>
    <xf numFmtId="0" fontId="11" fillId="0" borderId="0" xfId="0" applyFont="1"/>
    <xf numFmtId="0" fontId="28" fillId="2" borderId="0" xfId="0" applyFont="1" applyFill="1"/>
    <xf numFmtId="0" fontId="31" fillId="0" borderId="23" xfId="0" applyFont="1" applyBorder="1"/>
    <xf numFmtId="0" fontId="31" fillId="0" borderId="12" xfId="0" applyFont="1" applyBorder="1"/>
    <xf numFmtId="0" fontId="31" fillId="0" borderId="13" xfId="0" applyFont="1" applyBorder="1"/>
    <xf numFmtId="0" fontId="5" fillId="0" borderId="0" xfId="0" applyFont="1" applyAlignment="1">
      <alignment horizontal="center" vertical="center"/>
    </xf>
    <xf numFmtId="0" fontId="31" fillId="2" borderId="7" xfId="0" applyFont="1" applyFill="1" applyBorder="1" applyAlignment="1">
      <alignment horizontal="left"/>
    </xf>
    <xf numFmtId="177" fontId="37" fillId="2" borderId="5" xfId="4" applyNumberFormat="1" applyFont="1" applyFill="1" applyBorder="1"/>
    <xf numFmtId="0" fontId="35" fillId="2" borderId="7" xfId="0" applyFont="1" applyFill="1" applyBorder="1" applyAlignment="1">
      <alignment horizontal="center"/>
    </xf>
    <xf numFmtId="177" fontId="28" fillId="2" borderId="5" xfId="4" applyNumberFormat="1" applyFont="1" applyFill="1" applyBorder="1"/>
    <xf numFmtId="0" fontId="31" fillId="2" borderId="7" xfId="0" applyFont="1" applyFill="1" applyBorder="1" applyAlignment="1">
      <alignment horizontal="center"/>
    </xf>
    <xf numFmtId="177" fontId="31" fillId="2" borderId="5" xfId="4" applyNumberFormat="1" applyFont="1" applyFill="1" applyBorder="1"/>
    <xf numFmtId="177" fontId="8" fillId="0" borderId="16" xfId="4" applyNumberFormat="1" applyFont="1" applyFill="1" applyBorder="1"/>
    <xf numFmtId="0" fontId="24" fillId="0" borderId="0" xfId="0" applyFont="1" applyFill="1" applyBorder="1" applyAlignment="1"/>
    <xf numFmtId="0" fontId="49" fillId="0" borderId="6" xfId="0" applyFont="1" applyFill="1" applyBorder="1"/>
    <xf numFmtId="0" fontId="32" fillId="0" borderId="0" xfId="0" applyFont="1" applyFill="1" applyAlignment="1">
      <alignment horizontal="center"/>
    </xf>
    <xf numFmtId="177" fontId="31" fillId="0" borderId="0" xfId="4" applyNumberFormat="1" applyFont="1" applyFill="1" applyBorder="1"/>
    <xf numFmtId="0" fontId="33" fillId="0" borderId="6" xfId="0" applyFont="1" applyFill="1" applyBorder="1" applyAlignment="1">
      <alignment horizontal="left"/>
    </xf>
    <xf numFmtId="0" fontId="5" fillId="0" borderId="0" xfId="0" applyFont="1" applyAlignment="1"/>
    <xf numFmtId="0" fontId="5" fillId="0" borderId="5" xfId="0" applyFont="1" applyBorder="1" applyAlignment="1">
      <alignment horizontal="justify" vertical="top"/>
    </xf>
    <xf numFmtId="178" fontId="5" fillId="0" borderId="24" xfId="0" applyNumberFormat="1" applyFont="1" applyBorder="1" applyAlignment="1">
      <alignment horizontal="right" vertical="top"/>
    </xf>
    <xf numFmtId="0" fontId="5" fillId="0" borderId="7" xfId="0" applyFont="1" applyBorder="1" applyAlignment="1">
      <alignment wrapText="1"/>
    </xf>
    <xf numFmtId="0" fontId="5" fillId="0" borderId="13" xfId="0" applyFont="1" applyBorder="1" applyAlignment="1">
      <alignment wrapText="1"/>
    </xf>
    <xf numFmtId="0" fontId="5" fillId="0" borderId="11" xfId="0" applyFont="1" applyBorder="1" applyAlignment="1">
      <alignment wrapText="1"/>
    </xf>
    <xf numFmtId="0" fontId="5" fillId="0" borderId="11" xfId="0" applyFont="1" applyBorder="1" applyAlignment="1">
      <alignment vertical="top" wrapText="1"/>
    </xf>
    <xf numFmtId="0" fontId="5" fillId="0" borderId="0" xfId="0" applyFont="1" applyBorder="1" applyAlignment="1">
      <alignment wrapText="1"/>
    </xf>
    <xf numFmtId="0" fontId="5" fillId="0" borderId="12" xfId="0" applyFont="1" applyBorder="1" applyAlignment="1">
      <alignment wrapText="1"/>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2" fontId="5" fillId="0" borderId="7" xfId="0" applyNumberFormat="1" applyFont="1" applyBorder="1" applyAlignment="1">
      <alignment wrapText="1"/>
    </xf>
    <xf numFmtId="0" fontId="31" fillId="0" borderId="21" xfId="0" applyFont="1" applyBorder="1" applyAlignment="1">
      <alignment wrapText="1"/>
    </xf>
    <xf numFmtId="0" fontId="5" fillId="0" borderId="27" xfId="0" applyFont="1" applyBorder="1" applyAlignment="1">
      <alignment wrapText="1"/>
    </xf>
    <xf numFmtId="0" fontId="33" fillId="0" borderId="21" xfId="0" applyFont="1" applyBorder="1" applyAlignment="1">
      <alignment wrapText="1"/>
    </xf>
    <xf numFmtId="0" fontId="33" fillId="0" borderId="22" xfId="0" applyFont="1" applyBorder="1" applyAlignment="1">
      <alignment wrapText="1"/>
    </xf>
    <xf numFmtId="0" fontId="5" fillId="0" borderId="5" xfId="0" applyFont="1" applyBorder="1" applyAlignment="1">
      <alignment wrapText="1"/>
    </xf>
    <xf numFmtId="0" fontId="3" fillId="0" borderId="5" xfId="0" applyFont="1" applyBorder="1" applyAlignment="1">
      <alignment wrapText="1"/>
    </xf>
    <xf numFmtId="0" fontId="5" fillId="0" borderId="17" xfId="0" applyFont="1" applyBorder="1" applyAlignment="1">
      <alignment wrapText="1"/>
    </xf>
    <xf numFmtId="0" fontId="31" fillId="0" borderId="0"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53" fillId="0" borderId="0" xfId="0" applyFont="1" applyAlignment="1">
      <alignment horizontal="left"/>
    </xf>
    <xf numFmtId="0" fontId="53" fillId="0" borderId="0" xfId="0" applyFont="1" applyAlignment="1">
      <alignment horizontal="left" indent="6"/>
    </xf>
    <xf numFmtId="0" fontId="0" fillId="0" borderId="0" xfId="0" applyAlignment="1">
      <alignment horizontal="left" indent="6"/>
    </xf>
    <xf numFmtId="177" fontId="5" fillId="0" borderId="5" xfId="4" applyNumberFormat="1" applyFont="1" applyBorder="1" applyAlignment="1">
      <alignment horizontal="justify" vertical="top"/>
    </xf>
    <xf numFmtId="177" fontId="5" fillId="0" borderId="5" xfId="4" applyNumberFormat="1" applyFont="1" applyBorder="1" applyAlignment="1">
      <alignment horizontal="center" wrapText="1"/>
    </xf>
    <xf numFmtId="0" fontId="5" fillId="0" borderId="5" xfId="0" applyFont="1" applyBorder="1" applyAlignment="1">
      <alignment horizontal="justify" wrapText="1"/>
    </xf>
    <xf numFmtId="0" fontId="5" fillId="0" borderId="14" xfId="0" applyFont="1" applyBorder="1" applyAlignment="1">
      <alignment wrapText="1"/>
    </xf>
    <xf numFmtId="0" fontId="17" fillId="0" borderId="0" xfId="0" applyFont="1"/>
    <xf numFmtId="0" fontId="5" fillId="0" borderId="25" xfId="0" applyFont="1" applyBorder="1" applyAlignment="1">
      <alignment horizontal="center" vertical="center" wrapText="1"/>
    </xf>
    <xf numFmtId="0" fontId="18" fillId="0" borderId="0" xfId="0" applyFont="1" applyAlignment="1">
      <alignment horizontal="center"/>
    </xf>
    <xf numFmtId="0" fontId="55" fillId="0" borderId="0" xfId="0" applyFont="1" applyAlignment="1">
      <alignment horizontal="center"/>
    </xf>
    <xf numFmtId="9" fontId="32" fillId="0" borderId="0" xfId="6" applyFont="1"/>
    <xf numFmtId="9" fontId="32" fillId="0" borderId="0" xfId="6" applyFont="1" applyAlignment="1">
      <alignment horizontal="center"/>
    </xf>
    <xf numFmtId="177" fontId="56" fillId="0" borderId="16" xfId="4" applyNumberFormat="1" applyFont="1" applyFill="1" applyBorder="1"/>
    <xf numFmtId="177" fontId="31" fillId="0" borderId="0" xfId="0" applyNumberFormat="1" applyFont="1" applyFill="1"/>
    <xf numFmtId="177" fontId="31" fillId="0" borderId="5" xfId="4" applyNumberFormat="1" applyFont="1" applyFill="1" applyBorder="1"/>
    <xf numFmtId="177" fontId="24" fillId="0" borderId="0" xfId="4" applyNumberFormat="1" applyFont="1"/>
    <xf numFmtId="177" fontId="31" fillId="0" borderId="0" xfId="4" applyNumberFormat="1" applyFont="1" applyAlignment="1">
      <alignment horizontal="center"/>
    </xf>
    <xf numFmtId="177" fontId="34" fillId="0" borderId="0" xfId="4" applyNumberFormat="1" applyFont="1" applyAlignment="1">
      <alignment horizontal="center"/>
    </xf>
    <xf numFmtId="177" fontId="37" fillId="0" borderId="0" xfId="4" applyNumberFormat="1" applyFont="1" applyAlignment="1">
      <alignment horizontal="center"/>
    </xf>
    <xf numFmtId="177" fontId="24" fillId="0" borderId="0" xfId="4" applyNumberFormat="1" applyFont="1" applyAlignment="1">
      <alignment horizontal="center"/>
    </xf>
    <xf numFmtId="177" fontId="24" fillId="0" borderId="0" xfId="4" applyNumberFormat="1" applyFont="1" applyBorder="1" applyAlignment="1">
      <alignment horizontal="center"/>
    </xf>
    <xf numFmtId="177" fontId="31" fillId="0" borderId="0" xfId="4" applyNumberFormat="1" applyFont="1"/>
    <xf numFmtId="177" fontId="23" fillId="0" borderId="0" xfId="4" applyNumberFormat="1" applyFont="1" applyBorder="1"/>
    <xf numFmtId="177" fontId="30" fillId="0" borderId="0" xfId="0" applyNumberFormat="1" applyFont="1"/>
    <xf numFmtId="0" fontId="16" fillId="0" borderId="0" xfId="0" applyFont="1"/>
    <xf numFmtId="0" fontId="7" fillId="0" borderId="0" xfId="0" applyFont="1"/>
    <xf numFmtId="10" fontId="5" fillId="0" borderId="0" xfId="6" applyNumberFormat="1" applyFont="1"/>
    <xf numFmtId="177" fontId="5" fillId="0" borderId="7" xfId="0" applyNumberFormat="1" applyFont="1" applyBorder="1" applyAlignment="1">
      <alignment horizontal="right" wrapText="1"/>
    </xf>
    <xf numFmtId="177" fontId="5" fillId="0" borderId="7" xfId="4" applyNumberFormat="1" applyFont="1" applyBorder="1" applyAlignment="1">
      <alignment horizontal="right" wrapText="1"/>
    </xf>
    <xf numFmtId="0" fontId="7" fillId="0" borderId="21" xfId="0" applyFont="1" applyBorder="1" applyAlignment="1">
      <alignment horizontal="justify" vertical="top" wrapText="1"/>
    </xf>
    <xf numFmtId="0" fontId="5" fillId="0" borderId="30" xfId="0" applyFont="1" applyBorder="1" applyAlignment="1">
      <alignment horizontal="justify" vertical="top"/>
    </xf>
    <xf numFmtId="0" fontId="5" fillId="0" borderId="14" xfId="0" applyFont="1" applyBorder="1" applyAlignment="1">
      <alignment horizontal="justify" vertical="top"/>
    </xf>
    <xf numFmtId="178" fontId="5" fillId="0" borderId="17" xfId="0" applyNumberFormat="1" applyFont="1" applyBorder="1" applyAlignment="1">
      <alignment horizontal="right" vertical="top"/>
    </xf>
    <xf numFmtId="0" fontId="5" fillId="0" borderId="18" xfId="0" applyFont="1" applyBorder="1" applyAlignment="1">
      <alignment horizontal="justify" vertical="top"/>
    </xf>
    <xf numFmtId="0" fontId="5" fillId="0" borderId="9" xfId="0" applyFont="1" applyBorder="1" applyAlignment="1">
      <alignment horizontal="center" vertical="center"/>
    </xf>
    <xf numFmtId="0" fontId="5" fillId="0" borderId="31" xfId="0" applyFont="1" applyBorder="1" applyAlignment="1">
      <alignment horizontal="center" vertical="center"/>
    </xf>
    <xf numFmtId="0" fontId="8" fillId="0" borderId="21" xfId="0" applyFont="1" applyBorder="1" applyAlignment="1">
      <alignment horizontal="left"/>
    </xf>
    <xf numFmtId="0" fontId="8" fillId="0" borderId="21" xfId="0" applyFont="1" applyBorder="1" applyAlignment="1">
      <alignment horizontal="left" indent="2"/>
    </xf>
    <xf numFmtId="0" fontId="5" fillId="0" borderId="25" xfId="0" applyFont="1" applyBorder="1" applyAlignment="1">
      <alignment horizontal="center" wrapText="1"/>
    </xf>
    <xf numFmtId="177" fontId="8" fillId="0" borderId="3" xfId="4" applyNumberFormat="1" applyFont="1" applyFill="1" applyBorder="1" applyAlignment="1">
      <alignment horizontal="center" vertical="top"/>
    </xf>
    <xf numFmtId="0" fontId="20" fillId="0" borderId="32" xfId="0" applyFont="1" applyBorder="1" applyAlignment="1">
      <alignment horizontal="left" vertical="center"/>
    </xf>
    <xf numFmtId="0" fontId="22" fillId="0" borderId="0" xfId="0" applyFont="1" applyAlignment="1">
      <alignment horizontal="center" vertical="center"/>
    </xf>
    <xf numFmtId="0" fontId="20" fillId="0" borderId="8" xfId="0" applyFont="1" applyBorder="1" applyAlignment="1">
      <alignment horizontal="left" vertical="center"/>
    </xf>
    <xf numFmtId="0" fontId="0" fillId="0" borderId="23" xfId="0" applyBorder="1"/>
    <xf numFmtId="0" fontId="0" fillId="0" borderId="12" xfId="0" applyBorder="1"/>
    <xf numFmtId="49" fontId="5" fillId="0" borderId="33" xfId="0" applyNumberFormat="1" applyFont="1" applyBorder="1" applyAlignment="1">
      <alignment horizontal="left" vertical="center"/>
    </xf>
    <xf numFmtId="0" fontId="59" fillId="0" borderId="0" xfId="0" applyFont="1" applyAlignment="1">
      <alignment horizontal="center" vertical="center"/>
    </xf>
    <xf numFmtId="0" fontId="31" fillId="0" borderId="24" xfId="0" applyFont="1" applyBorder="1"/>
    <xf numFmtId="0" fontId="31" fillId="0" borderId="5" xfId="0" applyFont="1" applyBorder="1"/>
    <xf numFmtId="0" fontId="33" fillId="0" borderId="5" xfId="0" applyFont="1" applyBorder="1"/>
    <xf numFmtId="177" fontId="5" fillId="0" borderId="3" xfId="4" applyNumberFormat="1" applyFont="1" applyBorder="1"/>
    <xf numFmtId="0" fontId="24" fillId="0" borderId="21" xfId="0" applyFont="1" applyFill="1" applyBorder="1"/>
    <xf numFmtId="0" fontId="24" fillId="0" borderId="18" xfId="0" applyFont="1" applyBorder="1"/>
    <xf numFmtId="177" fontId="28" fillId="0" borderId="5" xfId="4" applyNumberFormat="1" applyFont="1" applyFill="1" applyBorder="1"/>
    <xf numFmtId="49" fontId="40" fillId="0" borderId="6" xfId="4" applyNumberFormat="1" applyFont="1" applyFill="1" applyBorder="1" applyAlignment="1">
      <alignment horizontal="center"/>
    </xf>
    <xf numFmtId="0" fontId="31" fillId="0" borderId="8" xfId="0" applyFont="1" applyFill="1" applyBorder="1"/>
    <xf numFmtId="0" fontId="31" fillId="0" borderId="7" xfId="0" applyFont="1" applyFill="1" applyBorder="1"/>
    <xf numFmtId="0" fontId="31" fillId="0" borderId="5" xfId="0" applyFont="1" applyFill="1" applyBorder="1"/>
    <xf numFmtId="0" fontId="31" fillId="0" borderId="7" xfId="0" applyFont="1" applyFill="1" applyBorder="1" applyAlignment="1">
      <alignment horizontal="left"/>
    </xf>
    <xf numFmtId="0" fontId="31" fillId="0" borderId="5" xfId="0" applyFont="1" applyFill="1" applyBorder="1" applyAlignment="1">
      <alignment horizontal="left"/>
    </xf>
    <xf numFmtId="41" fontId="31" fillId="0" borderId="5" xfId="4" applyNumberFormat="1" applyFont="1" applyFill="1" applyBorder="1"/>
    <xf numFmtId="177" fontId="5" fillId="0" borderId="5" xfId="4" applyNumberFormat="1" applyFont="1" applyFill="1" applyBorder="1"/>
    <xf numFmtId="177" fontId="31" fillId="0" borderId="21" xfId="4" applyNumberFormat="1" applyFont="1" applyFill="1" applyBorder="1"/>
    <xf numFmtId="0" fontId="32" fillId="0" borderId="7" xfId="0" applyFont="1" applyFill="1" applyBorder="1"/>
    <xf numFmtId="0" fontId="24" fillId="0" borderId="11" xfId="0" applyFont="1" applyFill="1" applyBorder="1" applyAlignment="1">
      <alignment horizontal="left"/>
    </xf>
    <xf numFmtId="0" fontId="31" fillId="0" borderId="0" xfId="0" applyFont="1" applyBorder="1" applyAlignment="1">
      <alignment horizontal="center"/>
    </xf>
    <xf numFmtId="0" fontId="5" fillId="0" borderId="21" xfId="0" applyFont="1" applyBorder="1" applyAlignment="1">
      <alignment vertical="top" wrapText="1"/>
    </xf>
    <xf numFmtId="0" fontId="28" fillId="0" borderId="21" xfId="0" applyFont="1" applyBorder="1" applyAlignment="1">
      <alignment horizontal="left"/>
    </xf>
    <xf numFmtId="0" fontId="24" fillId="0" borderId="14" xfId="0" applyFont="1" applyBorder="1"/>
    <xf numFmtId="0" fontId="28" fillId="0" borderId="21" xfId="0" applyFont="1" applyFill="1" applyBorder="1"/>
    <xf numFmtId="0" fontId="25" fillId="0" borderId="14" xfId="0" applyFont="1" applyBorder="1"/>
    <xf numFmtId="0" fontId="24" fillId="0" borderId="22" xfId="0" applyFont="1" applyFill="1" applyBorder="1"/>
    <xf numFmtId="41" fontId="24" fillId="0" borderId="35" xfId="0" applyNumberFormat="1" applyFont="1" applyFill="1" applyBorder="1"/>
    <xf numFmtId="0" fontId="24" fillId="2" borderId="14" xfId="0" applyFont="1" applyFill="1" applyBorder="1" applyAlignment="1">
      <alignment wrapText="1"/>
    </xf>
    <xf numFmtId="0" fontId="31" fillId="2" borderId="8" xfId="0" applyFont="1" applyFill="1" applyBorder="1"/>
    <xf numFmtId="0" fontId="24" fillId="2" borderId="14" xfId="0" applyFont="1" applyFill="1" applyBorder="1" applyAlignment="1">
      <alignment horizontal="left"/>
    </xf>
    <xf numFmtId="0" fontId="24" fillId="2" borderId="14" xfId="0" applyFont="1" applyFill="1" applyBorder="1" applyAlignment="1"/>
    <xf numFmtId="0" fontId="24" fillId="2" borderId="14" xfId="0" applyFont="1" applyFill="1" applyBorder="1"/>
    <xf numFmtId="0" fontId="31" fillId="2" borderId="8" xfId="0" applyFont="1" applyFill="1" applyBorder="1" applyAlignment="1">
      <alignment horizontal="left" vertical="top"/>
    </xf>
    <xf numFmtId="0" fontId="24" fillId="2" borderId="8" xfId="0" applyFont="1" applyFill="1" applyBorder="1"/>
    <xf numFmtId="0" fontId="39" fillId="2" borderId="8" xfId="0" applyFont="1" applyFill="1" applyBorder="1"/>
    <xf numFmtId="0" fontId="41" fillId="2" borderId="14" xfId="0" applyFont="1" applyFill="1" applyBorder="1"/>
    <xf numFmtId="0" fontId="47" fillId="2" borderId="14" xfId="0" applyFont="1" applyFill="1" applyBorder="1"/>
    <xf numFmtId="0" fontId="39" fillId="2" borderId="23" xfId="0" applyFont="1" applyFill="1" applyBorder="1"/>
    <xf numFmtId="0" fontId="39" fillId="2" borderId="27" xfId="0" applyFont="1" applyFill="1" applyBorder="1"/>
    <xf numFmtId="0" fontId="39" fillId="2" borderId="17" xfId="0" applyFont="1" applyFill="1" applyBorder="1"/>
    <xf numFmtId="0" fontId="41" fillId="2" borderId="18" xfId="0" applyFont="1" applyFill="1" applyBorder="1"/>
    <xf numFmtId="0" fontId="24" fillId="0" borderId="8" xfId="0" applyFont="1" applyBorder="1"/>
    <xf numFmtId="0" fontId="27" fillId="0" borderId="14" xfId="0" applyFont="1" applyBorder="1"/>
    <xf numFmtId="0" fontId="23" fillId="0" borderId="23" xfId="0" applyFont="1" applyBorder="1"/>
    <xf numFmtId="0" fontId="23" fillId="0" borderId="27" xfId="0" applyFont="1" applyBorder="1"/>
    <xf numFmtId="177" fontId="23" fillId="0" borderId="17" xfId="4" applyNumberFormat="1" applyFont="1" applyBorder="1"/>
    <xf numFmtId="0" fontId="23" fillId="0" borderId="18" xfId="0" applyFont="1" applyBorder="1"/>
    <xf numFmtId="0" fontId="31" fillId="0" borderId="14" xfId="0" applyFont="1" applyBorder="1" applyAlignment="1">
      <alignment wrapText="1"/>
    </xf>
    <xf numFmtId="0" fontId="31" fillId="0" borderId="0" xfId="0" applyFont="1" applyFill="1" applyBorder="1"/>
    <xf numFmtId="0" fontId="31" fillId="2" borderId="8" xfId="0" applyFont="1" applyFill="1" applyBorder="1" applyAlignment="1">
      <alignment horizontal="left"/>
    </xf>
    <xf numFmtId="0" fontId="31" fillId="2" borderId="14" xfId="0" applyFont="1" applyFill="1" applyBorder="1" applyAlignment="1">
      <alignment horizontal="center"/>
    </xf>
    <xf numFmtId="0" fontId="23" fillId="2" borderId="0" xfId="0" applyFont="1" applyFill="1" applyAlignment="1"/>
    <xf numFmtId="177" fontId="31" fillId="0" borderId="5" xfId="4" applyNumberFormat="1" applyFont="1" applyFill="1" applyBorder="1" applyAlignment="1"/>
    <xf numFmtId="0" fontId="31" fillId="2" borderId="0" xfId="0" applyFont="1" applyFill="1" applyAlignment="1"/>
    <xf numFmtId="0" fontId="31" fillId="2" borderId="7" xfId="0" applyFont="1" applyFill="1" applyBorder="1" applyAlignment="1">
      <alignment horizontal="center" wrapText="1"/>
    </xf>
    <xf numFmtId="0" fontId="5" fillId="0" borderId="14" xfId="0" applyFont="1" applyBorder="1" applyAlignment="1">
      <alignment horizontal="left" wrapText="1"/>
    </xf>
    <xf numFmtId="177" fontId="31" fillId="2" borderId="5" xfId="4" applyNumberFormat="1" applyFont="1" applyFill="1" applyBorder="1" applyAlignment="1"/>
    <xf numFmtId="0" fontId="31" fillId="2" borderId="5" xfId="0" applyFont="1" applyFill="1" applyBorder="1" applyAlignment="1"/>
    <xf numFmtId="0" fontId="31" fillId="2" borderId="8" xfId="0" applyFont="1" applyFill="1" applyBorder="1" applyAlignment="1"/>
    <xf numFmtId="0" fontId="5" fillId="2" borderId="8" xfId="0" applyFont="1" applyFill="1" applyBorder="1" applyAlignment="1">
      <alignment horizontal="left"/>
    </xf>
    <xf numFmtId="0" fontId="31" fillId="0" borderId="8" xfId="0" applyFont="1" applyBorder="1" applyAlignment="1"/>
    <xf numFmtId="177" fontId="31" fillId="0" borderId="7" xfId="4" applyNumberFormat="1" applyFont="1" applyBorder="1" applyAlignment="1"/>
    <xf numFmtId="177" fontId="31" fillId="0" borderId="5" xfId="4" applyNumberFormat="1" applyFont="1" applyBorder="1" applyAlignment="1"/>
    <xf numFmtId="0" fontId="31" fillId="0" borderId="14" xfId="0" applyFont="1" applyBorder="1" applyAlignment="1"/>
    <xf numFmtId="41" fontId="31" fillId="0" borderId="5" xfId="4" applyNumberFormat="1" applyFont="1" applyFill="1" applyBorder="1" applyAlignment="1"/>
    <xf numFmtId="177" fontId="31" fillId="0" borderId="14" xfId="4" applyNumberFormat="1" applyFont="1" applyFill="1" applyBorder="1" applyAlignment="1"/>
    <xf numFmtId="41" fontId="31" fillId="0" borderId="5" xfId="0" applyNumberFormat="1" applyFont="1" applyBorder="1"/>
    <xf numFmtId="0" fontId="5" fillId="0" borderId="0" xfId="0" applyFont="1" applyBorder="1" applyAlignment="1">
      <alignment horizontal="center"/>
    </xf>
    <xf numFmtId="0" fontId="5" fillId="0" borderId="0" xfId="0" applyFont="1" applyBorder="1" applyAlignment="1">
      <alignment horizontal="center" vertical="top"/>
    </xf>
    <xf numFmtId="0" fontId="5" fillId="0" borderId="0" xfId="0" applyFont="1" applyBorder="1" applyAlignment="1">
      <alignment horizontal="center" vertical="top" wrapText="1"/>
    </xf>
    <xf numFmtId="177" fontId="5" fillId="0" borderId="5" xfId="4" applyNumberFormat="1" applyFont="1" applyBorder="1" applyAlignment="1"/>
    <xf numFmtId="0" fontId="6" fillId="0" borderId="21" xfId="0" applyFont="1" applyBorder="1" applyAlignment="1">
      <alignment horizontal="left"/>
    </xf>
    <xf numFmtId="0" fontId="48" fillId="0" borderId="5" xfId="0" applyFont="1" applyFill="1" applyBorder="1"/>
    <xf numFmtId="0" fontId="5" fillId="0" borderId="5" xfId="0" applyFont="1" applyBorder="1" applyAlignment="1">
      <alignment vertical="top" wrapText="1"/>
    </xf>
    <xf numFmtId="0" fontId="3" fillId="0" borderId="5" xfId="0" applyFont="1" applyBorder="1" applyAlignment="1">
      <alignment vertical="top" wrapText="1"/>
    </xf>
    <xf numFmtId="177" fontId="5" fillId="0" borderId="5" xfId="4" applyNumberFormat="1" applyFont="1" applyBorder="1" applyAlignment="1">
      <alignment vertical="top" wrapText="1"/>
    </xf>
    <xf numFmtId="0" fontId="31" fillId="0" borderId="0" xfId="0" applyFont="1" applyBorder="1" applyAlignment="1"/>
    <xf numFmtId="0" fontId="28" fillId="0" borderId="0" xfId="0" applyFont="1" applyBorder="1" applyAlignment="1">
      <alignment horizontal="center" vertical="center"/>
    </xf>
    <xf numFmtId="0" fontId="31" fillId="0" borderId="0" xfId="0" applyFont="1" applyBorder="1" applyAlignment="1">
      <alignment horizontal="center" vertical="center"/>
    </xf>
    <xf numFmtId="0" fontId="37" fillId="0" borderId="0" xfId="0" applyFont="1"/>
    <xf numFmtId="0" fontId="13" fillId="0" borderId="0" xfId="0" applyFont="1"/>
    <xf numFmtId="41" fontId="5" fillId="0" borderId="21" xfId="5" applyFont="1" applyFill="1" applyBorder="1"/>
    <xf numFmtId="41" fontId="31" fillId="0" borderId="0" xfId="0" applyNumberFormat="1" applyFont="1" applyAlignment="1">
      <alignment horizontal="center"/>
    </xf>
    <xf numFmtId="0" fontId="31" fillId="0" borderId="21" xfId="0" applyFont="1" applyFill="1" applyBorder="1" applyAlignment="1">
      <alignment horizontal="left"/>
    </xf>
    <xf numFmtId="41" fontId="31" fillId="0" borderId="6" xfId="4" applyNumberFormat="1" applyFont="1" applyFill="1" applyBorder="1"/>
    <xf numFmtId="0" fontId="31" fillId="0" borderId="14" xfId="0" applyFont="1" applyBorder="1"/>
    <xf numFmtId="0" fontId="31" fillId="0" borderId="21" xfId="0" applyFont="1" applyFill="1" applyBorder="1" applyAlignment="1"/>
    <xf numFmtId="0" fontId="28" fillId="0" borderId="21" xfId="0" applyFont="1" applyFill="1" applyBorder="1" applyAlignment="1">
      <alignment horizontal="left"/>
    </xf>
    <xf numFmtId="0" fontId="31" fillId="0" borderId="21" xfId="0" applyFont="1" applyFill="1" applyBorder="1"/>
    <xf numFmtId="41" fontId="31" fillId="0" borderId="6" xfId="0" applyNumberFormat="1" applyFont="1" applyBorder="1"/>
    <xf numFmtId="0" fontId="31" fillId="2" borderId="0" xfId="0" applyFont="1" applyFill="1" applyAlignment="1">
      <alignment horizontal="center"/>
    </xf>
    <xf numFmtId="0" fontId="31" fillId="2" borderId="0" xfId="0" applyFont="1" applyFill="1" applyAlignment="1">
      <alignment horizontal="right"/>
    </xf>
    <xf numFmtId="0" fontId="31" fillId="2" borderId="4" xfId="0" applyFont="1" applyFill="1" applyBorder="1" applyAlignment="1">
      <alignment horizontal="center" vertical="center" wrapText="1"/>
    </xf>
    <xf numFmtId="0" fontId="28" fillId="2" borderId="8" xfId="0" applyFont="1" applyFill="1" applyBorder="1" applyAlignment="1">
      <alignment horizontal="left"/>
    </xf>
    <xf numFmtId="0" fontId="28" fillId="0" borderId="8" xfId="0" applyFont="1" applyBorder="1" applyAlignment="1"/>
    <xf numFmtId="0" fontId="23" fillId="0" borderId="3" xfId="0" applyFont="1" applyBorder="1" applyAlignment="1">
      <alignment horizontal="center" vertical="center"/>
    </xf>
    <xf numFmtId="0" fontId="23" fillId="0" borderId="3" xfId="0" applyFont="1" applyBorder="1" applyAlignment="1">
      <alignment horizontal="center" vertical="center" wrapText="1"/>
    </xf>
    <xf numFmtId="0" fontId="31" fillId="0" borderId="39" xfId="0" applyFont="1" applyBorder="1" applyAlignment="1">
      <alignment horizontal="center" vertical="center"/>
    </xf>
    <xf numFmtId="0" fontId="36" fillId="0" borderId="0" xfId="0" applyFont="1"/>
    <xf numFmtId="2" fontId="5" fillId="0" borderId="11" xfId="0" applyNumberFormat="1" applyFont="1" applyBorder="1" applyAlignment="1">
      <alignment wrapText="1"/>
    </xf>
    <xf numFmtId="0" fontId="5" fillId="0" borderId="9" xfId="0" applyFont="1" applyBorder="1" applyAlignment="1">
      <alignment horizontal="distributed" vertical="center" wrapText="1"/>
    </xf>
    <xf numFmtId="0" fontId="5" fillId="0" borderId="40" xfId="0" applyFont="1" applyBorder="1" applyAlignment="1">
      <alignment horizontal="center" vertical="center" wrapText="1"/>
    </xf>
    <xf numFmtId="0" fontId="5" fillId="0" borderId="41" xfId="0" applyFont="1" applyBorder="1" applyAlignment="1">
      <alignment horizontal="distributed" vertical="center" wrapText="1"/>
    </xf>
    <xf numFmtId="0" fontId="5" fillId="0" borderId="21" xfId="0" applyFont="1" applyBorder="1" applyAlignment="1">
      <alignment horizontal="justify" vertical="top" wrapText="1"/>
    </xf>
    <xf numFmtId="0" fontId="5" fillId="0" borderId="22" xfId="0" applyFont="1" applyBorder="1" applyAlignment="1">
      <alignment horizontal="justify" vertical="top" wrapText="1"/>
    </xf>
    <xf numFmtId="0" fontId="5" fillId="0" borderId="21" xfId="0" applyFont="1" applyBorder="1" applyAlignment="1">
      <alignment horizontal="left" vertical="top"/>
    </xf>
    <xf numFmtId="0" fontId="5" fillId="0" borderId="21" xfId="0" applyFont="1" applyBorder="1" applyAlignment="1">
      <alignment horizontal="left" vertical="top" wrapText="1"/>
    </xf>
    <xf numFmtId="0" fontId="12" fillId="0" borderId="21" xfId="0" applyFont="1" applyBorder="1" applyAlignment="1">
      <alignment horizontal="left"/>
    </xf>
    <xf numFmtId="0" fontId="5" fillId="0" borderId="21" xfId="0" applyFont="1" applyBorder="1" applyAlignment="1">
      <alignment horizontal="left" indent="2"/>
    </xf>
    <xf numFmtId="0" fontId="5" fillId="0" borderId="31" xfId="0" applyFont="1" applyBorder="1" applyAlignment="1">
      <alignment horizontal="center" vertical="center" wrapText="1" shrinkToFit="1"/>
    </xf>
    <xf numFmtId="0" fontId="5" fillId="0" borderId="10" xfId="0" applyFont="1" applyBorder="1" applyAlignment="1">
      <alignment horizontal="distributed" vertical="center"/>
    </xf>
    <xf numFmtId="0" fontId="5" fillId="0" borderId="8" xfId="0" applyFont="1" applyBorder="1" applyAlignment="1">
      <alignment vertical="top" wrapText="1"/>
    </xf>
    <xf numFmtId="0" fontId="33" fillId="0" borderId="0" xfId="0" applyFont="1" applyBorder="1"/>
    <xf numFmtId="0" fontId="7" fillId="0" borderId="0" xfId="0" applyFont="1" applyAlignment="1">
      <alignment horizontal="center" vertical="center"/>
    </xf>
    <xf numFmtId="0" fontId="31" fillId="0" borderId="0" xfId="0" applyFont="1" applyBorder="1" applyAlignment="1">
      <alignment horizontal="left" vertical="top"/>
    </xf>
    <xf numFmtId="0" fontId="16" fillId="0" borderId="0" xfId="0" applyFont="1" applyAlignment="1">
      <alignment horizontal="center" vertical="center"/>
    </xf>
    <xf numFmtId="0" fontId="17" fillId="0" borderId="0" xfId="0" applyFont="1" applyAlignment="1">
      <alignment horizontal="center" vertical="center"/>
    </xf>
    <xf numFmtId="0" fontId="5" fillId="0" borderId="12" xfId="0" applyFont="1" applyBorder="1" applyAlignment="1">
      <alignment horizontal="center" vertical="center"/>
    </xf>
    <xf numFmtId="41" fontId="5" fillId="0" borderId="7" xfId="0" applyNumberFormat="1" applyFont="1" applyBorder="1" applyAlignment="1">
      <alignment vertical="top" wrapText="1"/>
    </xf>
    <xf numFmtId="178" fontId="5" fillId="0" borderId="7" xfId="4" applyNumberFormat="1" applyFont="1" applyBorder="1" applyAlignment="1">
      <alignment horizontal="right" wrapText="1"/>
    </xf>
    <xf numFmtId="178" fontId="5" fillId="0" borderId="7" xfId="0" applyNumberFormat="1" applyFont="1" applyBorder="1" applyAlignment="1">
      <alignment wrapText="1"/>
    </xf>
    <xf numFmtId="178" fontId="5" fillId="0" borderId="7" xfId="0" applyNumberFormat="1" applyFont="1" applyBorder="1" applyAlignment="1">
      <alignment vertical="top" wrapText="1"/>
    </xf>
    <xf numFmtId="183" fontId="5" fillId="0" borderId="7" xfId="0" applyNumberFormat="1" applyFont="1" applyBorder="1" applyAlignment="1">
      <alignment wrapText="1"/>
    </xf>
    <xf numFmtId="183" fontId="5" fillId="0" borderId="7" xfId="0" applyNumberFormat="1" applyFont="1" applyBorder="1" applyAlignment="1">
      <alignment vertical="top" wrapText="1"/>
    </xf>
    <xf numFmtId="183" fontId="5" fillId="0" borderId="14" xfId="0" applyNumberFormat="1" applyFont="1" applyBorder="1" applyAlignment="1">
      <alignment wrapText="1"/>
    </xf>
    <xf numFmtId="183" fontId="5" fillId="0" borderId="14" xfId="0" applyNumberFormat="1" applyFont="1" applyBorder="1" applyAlignment="1">
      <alignment vertical="top" wrapText="1"/>
    </xf>
    <xf numFmtId="183" fontId="5" fillId="0" borderId="11" xfId="0" applyNumberFormat="1" applyFont="1" applyBorder="1" applyAlignment="1">
      <alignment vertical="top" wrapText="1"/>
    </xf>
    <xf numFmtId="0" fontId="23" fillId="0" borderId="25" xfId="0" applyFont="1" applyBorder="1" applyAlignment="1">
      <alignment horizontal="center" vertical="center" wrapText="1"/>
    </xf>
    <xf numFmtId="49" fontId="5" fillId="0" borderId="21" xfId="0" applyNumberFormat="1" applyFont="1" applyBorder="1" applyAlignment="1">
      <alignment horizontal="left" vertical="center"/>
    </xf>
    <xf numFmtId="49" fontId="5" fillId="0" borderId="5" xfId="0" applyNumberFormat="1" applyFont="1" applyBorder="1" applyAlignment="1">
      <alignment horizontal="center" vertical="center"/>
    </xf>
    <xf numFmtId="177" fontId="3" fillId="0" borderId="5" xfId="4" applyNumberFormat="1" applyFont="1" applyBorder="1" applyAlignment="1"/>
    <xf numFmtId="177" fontId="3" fillId="2" borderId="5" xfId="4" applyNumberFormat="1" applyFont="1" applyFill="1" applyBorder="1" applyAlignment="1"/>
    <xf numFmtId="0" fontId="12" fillId="0" borderId="21" xfId="0" applyFont="1" applyBorder="1" applyAlignment="1">
      <alignment horizontal="left" vertical="top"/>
    </xf>
    <xf numFmtId="177" fontId="5" fillId="0" borderId="5" xfId="4" applyNumberFormat="1" applyFont="1" applyBorder="1" applyAlignment="1">
      <alignment vertical="top"/>
    </xf>
    <xf numFmtId="0" fontId="5" fillId="0" borderId="14" xfId="0" applyFont="1" applyBorder="1" applyAlignment="1">
      <alignment vertical="top"/>
    </xf>
    <xf numFmtId="0" fontId="12" fillId="0" borderId="37" xfId="0" applyFont="1" applyBorder="1" applyAlignment="1">
      <alignment horizontal="left" vertical="top"/>
    </xf>
    <xf numFmtId="177" fontId="5" fillId="2" borderId="5" xfId="4" applyNumberFormat="1" applyFont="1" applyFill="1" applyBorder="1" applyAlignment="1">
      <alignment vertical="top"/>
    </xf>
    <xf numFmtId="0" fontId="5" fillId="0" borderId="21" xfId="0" applyFont="1" applyFill="1" applyBorder="1" applyAlignment="1">
      <alignment horizontal="left" vertical="top"/>
    </xf>
    <xf numFmtId="0" fontId="65" fillId="0" borderId="5" xfId="0" applyFont="1" applyFill="1" applyBorder="1"/>
    <xf numFmtId="177" fontId="31" fillId="0" borderId="17" xfId="4" applyNumberFormat="1" applyFont="1" applyFill="1" applyBorder="1"/>
    <xf numFmtId="0" fontId="72" fillId="0" borderId="11" xfId="0" applyFont="1" applyBorder="1"/>
    <xf numFmtId="0" fontId="72" fillId="0" borderId="11" xfId="0" applyFont="1" applyBorder="1" applyAlignment="1">
      <alignment horizontal="left"/>
    </xf>
    <xf numFmtId="176" fontId="11" fillId="0" borderId="24" xfId="0" applyNumberFormat="1" applyFont="1" applyFill="1" applyBorder="1"/>
    <xf numFmtId="0" fontId="12" fillId="0" borderId="24" xfId="0" applyFont="1" applyFill="1" applyBorder="1"/>
    <xf numFmtId="177" fontId="11" fillId="0" borderId="24" xfId="4" applyNumberFormat="1" applyFont="1" applyFill="1" applyBorder="1"/>
    <xf numFmtId="176" fontId="9" fillId="0" borderId="5" xfId="0" applyNumberFormat="1" applyFont="1" applyFill="1" applyBorder="1"/>
    <xf numFmtId="0" fontId="3" fillId="0" borderId="5" xfId="0" applyFont="1" applyFill="1" applyBorder="1"/>
    <xf numFmtId="177" fontId="9" fillId="0" borderId="5" xfId="4" applyNumberFormat="1" applyFont="1" applyFill="1" applyBorder="1"/>
    <xf numFmtId="41" fontId="9" fillId="0" borderId="5" xfId="0" applyNumberFormat="1" applyFont="1" applyFill="1" applyBorder="1"/>
    <xf numFmtId="0" fontId="3" fillId="0" borderId="6" xfId="0" applyFont="1" applyFill="1" applyBorder="1"/>
    <xf numFmtId="176" fontId="11" fillId="0" borderId="5" xfId="0" applyNumberFormat="1" applyFont="1" applyFill="1" applyBorder="1"/>
    <xf numFmtId="0" fontId="12" fillId="0" borderId="5" xfId="0" applyFont="1" applyFill="1" applyBorder="1"/>
    <xf numFmtId="177" fontId="11" fillId="0" borderId="5" xfId="4" applyNumberFormat="1" applyFont="1" applyFill="1" applyBorder="1"/>
    <xf numFmtId="178" fontId="11" fillId="0" borderId="5" xfId="4" applyNumberFormat="1" applyFont="1" applyFill="1" applyBorder="1"/>
    <xf numFmtId="0" fontId="5" fillId="0" borderId="5" xfId="0" applyFont="1" applyFill="1" applyBorder="1"/>
    <xf numFmtId="0" fontId="5" fillId="0" borderId="21" xfId="0" applyFont="1" applyBorder="1" applyAlignment="1">
      <alignment horizontal="left" wrapText="1" indent="1"/>
    </xf>
    <xf numFmtId="0" fontId="31" fillId="0" borderId="21" xfId="0" applyFont="1" applyBorder="1" applyAlignment="1">
      <alignment horizontal="center" vertical="center" wrapText="1"/>
    </xf>
    <xf numFmtId="0" fontId="31" fillId="0" borderId="30" xfId="0" applyFont="1" applyBorder="1" applyAlignment="1">
      <alignment horizontal="center" vertical="center" wrapText="1"/>
    </xf>
    <xf numFmtId="0" fontId="7" fillId="0" borderId="8" xfId="0" applyFont="1" applyBorder="1" applyAlignment="1"/>
    <xf numFmtId="0" fontId="7" fillId="0" borderId="8" xfId="0" applyFont="1" applyBorder="1"/>
    <xf numFmtId="0" fontId="78" fillId="0" borderId="8" xfId="0" applyFont="1" applyBorder="1"/>
    <xf numFmtId="0" fontId="7" fillId="0" borderId="8" xfId="0" applyFont="1" applyBorder="1" applyAlignment="1">
      <alignment horizontal="left"/>
    </xf>
    <xf numFmtId="0" fontId="31" fillId="0" borderId="11" xfId="0" applyFont="1" applyBorder="1" applyAlignment="1"/>
    <xf numFmtId="41" fontId="11" fillId="0" borderId="24" xfId="0" applyNumberFormat="1" applyFont="1" applyFill="1" applyBorder="1"/>
    <xf numFmtId="41" fontId="11" fillId="0" borderId="5" xfId="0" applyNumberFormat="1" applyFont="1" applyFill="1" applyBorder="1"/>
    <xf numFmtId="43" fontId="11" fillId="0" borderId="30" xfId="0" applyNumberFormat="1" applyFont="1" applyFill="1" applyBorder="1"/>
    <xf numFmtId="43" fontId="9" fillId="0" borderId="14" xfId="0" applyNumberFormat="1" applyFont="1" applyFill="1" applyBorder="1"/>
    <xf numFmtId="43" fontId="11" fillId="0" borderId="14" xfId="0" applyNumberFormat="1" applyFont="1" applyFill="1" applyBorder="1"/>
    <xf numFmtId="177" fontId="28" fillId="0" borderId="5" xfId="4" applyNumberFormat="1" applyFont="1" applyFill="1" applyBorder="1" applyAlignment="1"/>
    <xf numFmtId="177" fontId="24" fillId="0" borderId="11" xfId="4" applyNumberFormat="1" applyFont="1" applyFill="1" applyBorder="1" applyAlignment="1"/>
    <xf numFmtId="0" fontId="24" fillId="0" borderId="0" xfId="0" applyFont="1" applyAlignment="1"/>
    <xf numFmtId="0" fontId="31" fillId="0" borderId="7" xfId="0" applyFont="1" applyFill="1" applyBorder="1" applyAlignment="1"/>
    <xf numFmtId="0" fontId="31" fillId="0" borderId="5" xfId="0" applyFont="1" applyFill="1" applyBorder="1" applyAlignment="1"/>
    <xf numFmtId="0" fontId="33" fillId="0" borderId="8" xfId="0" applyFont="1" applyFill="1" applyBorder="1" applyAlignment="1"/>
    <xf numFmtId="0" fontId="30" fillId="0" borderId="0" xfId="0" applyFont="1" applyAlignment="1"/>
    <xf numFmtId="0" fontId="28" fillId="0" borderId="7" xfId="0" applyFont="1" applyFill="1" applyBorder="1" applyAlignment="1"/>
    <xf numFmtId="177" fontId="5" fillId="0" borderId="5" xfId="4" applyNumberFormat="1" applyFont="1" applyFill="1" applyBorder="1" applyAlignment="1"/>
    <xf numFmtId="177" fontId="9" fillId="0" borderId="6" xfId="4" applyNumberFormat="1" applyFont="1" applyFill="1" applyBorder="1" applyAlignment="1"/>
    <xf numFmtId="0" fontId="63" fillId="0" borderId="17" xfId="0" applyFont="1" applyFill="1" applyBorder="1" applyAlignment="1">
      <alignment horizontal="center" vertical="center"/>
    </xf>
    <xf numFmtId="0" fontId="32" fillId="0" borderId="0" xfId="0" applyFont="1" applyAlignment="1">
      <alignment vertical="center"/>
    </xf>
    <xf numFmtId="177" fontId="31" fillId="0" borderId="11" xfId="4" applyNumberFormat="1" applyFont="1" applyFill="1" applyBorder="1" applyAlignment="1"/>
    <xf numFmtId="177" fontId="24" fillId="0" borderId="16" xfId="4" applyNumberFormat="1" applyFont="1" applyFill="1" applyBorder="1" applyAlignment="1"/>
    <xf numFmtId="0" fontId="32" fillId="0" borderId="0" xfId="0" applyFont="1" applyAlignment="1"/>
    <xf numFmtId="177" fontId="31" fillId="0" borderId="21" xfId="4" applyNumberFormat="1" applyFont="1" applyFill="1" applyBorder="1" applyAlignment="1"/>
    <xf numFmtId="0" fontId="33" fillId="0" borderId="6" xfId="0" applyFont="1" applyFill="1" applyBorder="1" applyAlignment="1"/>
    <xf numFmtId="0" fontId="32" fillId="0" borderId="7" xfId="0" applyFont="1" applyFill="1" applyBorder="1" applyAlignment="1"/>
    <xf numFmtId="0" fontId="32" fillId="0" borderId="20" xfId="0" applyFont="1" applyBorder="1" applyAlignment="1"/>
    <xf numFmtId="0" fontId="5" fillId="0" borderId="3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0" applyFont="1" applyAlignment="1">
      <alignment vertical="center"/>
    </xf>
    <xf numFmtId="0" fontId="0" fillId="0" borderId="7" xfId="0" applyBorder="1" applyAlignment="1">
      <alignment horizontal="center" vertical="center" wrapText="1"/>
    </xf>
    <xf numFmtId="0" fontId="23" fillId="0" borderId="7" xfId="0" applyFont="1" applyBorder="1" applyAlignment="1">
      <alignment horizontal="justify" vertical="center" wrapText="1"/>
    </xf>
    <xf numFmtId="0" fontId="24" fillId="0" borderId="7" xfId="0" applyFont="1" applyBorder="1" applyAlignment="1">
      <alignment horizontal="center" vertical="center" wrapText="1"/>
    </xf>
    <xf numFmtId="0" fontId="31" fillId="0" borderId="7" xfId="0" applyFont="1" applyBorder="1" applyAlignment="1">
      <alignment horizontal="center" vertical="center" wrapText="1"/>
    </xf>
    <xf numFmtId="0" fontId="71" fillId="0" borderId="7" xfId="0" applyFont="1" applyBorder="1" applyAlignment="1">
      <alignment horizontal="center" vertical="center" wrapText="1"/>
    </xf>
    <xf numFmtId="0" fontId="23" fillId="0" borderId="7" xfId="0" applyFont="1" applyBorder="1" applyAlignment="1">
      <alignment horizontal="center" vertical="center" wrapText="1"/>
    </xf>
    <xf numFmtId="178" fontId="5" fillId="0" borderId="5" xfId="0" applyNumberFormat="1" applyFont="1" applyBorder="1" applyAlignment="1">
      <alignment vertical="center"/>
    </xf>
    <xf numFmtId="178" fontId="5" fillId="0" borderId="14" xfId="0" applyNumberFormat="1" applyFont="1" applyBorder="1" applyAlignment="1">
      <alignment vertical="center"/>
    </xf>
    <xf numFmtId="0" fontId="5" fillId="0" borderId="21" xfId="0" applyFont="1" applyBorder="1" applyAlignment="1">
      <alignment vertical="center"/>
    </xf>
    <xf numFmtId="0" fontId="5" fillId="0" borderId="5" xfId="0" applyFont="1" applyBorder="1" applyAlignment="1">
      <alignment vertical="center"/>
    </xf>
    <xf numFmtId="0" fontId="3" fillId="0" borderId="21" xfId="0" applyFont="1" applyBorder="1" applyAlignment="1">
      <alignment vertical="center"/>
    </xf>
    <xf numFmtId="0" fontId="9" fillId="0" borderId="40" xfId="0" applyFont="1" applyBorder="1" applyAlignment="1">
      <alignment horizontal="center" vertical="center" wrapText="1"/>
    </xf>
    <xf numFmtId="0" fontId="9" fillId="0" borderId="31" xfId="0" applyFont="1" applyBorder="1" applyAlignment="1">
      <alignment horizontal="center" vertical="center" wrapText="1"/>
    </xf>
    <xf numFmtId="0" fontId="12" fillId="0" borderId="0" xfId="0" applyFont="1"/>
    <xf numFmtId="0" fontId="12" fillId="0" borderId="21" xfId="0" applyFont="1" applyBorder="1" applyAlignment="1">
      <alignment vertical="top" wrapText="1"/>
    </xf>
    <xf numFmtId="177" fontId="12" fillId="0" borderId="5" xfId="4" applyNumberFormat="1" applyFont="1" applyBorder="1" applyAlignment="1">
      <alignment horizontal="center" vertical="top" wrapText="1"/>
    </xf>
    <xf numFmtId="0" fontId="12" fillId="0" borderId="14" xfId="0" applyFont="1" applyBorder="1" applyAlignment="1">
      <alignment vertical="top" wrapText="1"/>
    </xf>
    <xf numFmtId="0" fontId="12" fillId="0" borderId="0" xfId="0" applyFont="1" applyAlignment="1">
      <alignment vertical="top"/>
    </xf>
    <xf numFmtId="0" fontId="12" fillId="0" borderId="22" xfId="0" applyFont="1" applyBorder="1" applyAlignment="1">
      <alignment horizontal="center" vertical="center" wrapText="1"/>
    </xf>
    <xf numFmtId="177" fontId="12" fillId="0" borderId="17" xfId="0" applyNumberFormat="1" applyFont="1" applyBorder="1" applyAlignment="1">
      <alignment vertical="center" wrapText="1"/>
    </xf>
    <xf numFmtId="0" fontId="12" fillId="0" borderId="18" xfId="0" applyFont="1" applyBorder="1" applyAlignment="1">
      <alignment vertical="center" wrapText="1"/>
    </xf>
    <xf numFmtId="0" fontId="12" fillId="0" borderId="0" xfId="0" applyFont="1" applyAlignment="1">
      <alignment vertical="center"/>
    </xf>
    <xf numFmtId="0" fontId="28" fillId="0" borderId="21" xfId="0" applyFont="1" applyBorder="1" applyAlignment="1">
      <alignment vertical="top" wrapText="1"/>
    </xf>
    <xf numFmtId="178" fontId="12" fillId="0" borderId="7" xfId="4" applyNumberFormat="1" applyFont="1" applyBorder="1" applyAlignment="1">
      <alignment horizontal="right" vertical="top" wrapText="1"/>
    </xf>
    <xf numFmtId="178" fontId="12" fillId="0" borderId="7" xfId="4" applyNumberFormat="1" applyFont="1" applyBorder="1" applyAlignment="1">
      <alignment vertical="top" wrapText="1"/>
    </xf>
    <xf numFmtId="178" fontId="12" fillId="0" borderId="7" xfId="0" applyNumberFormat="1" applyFont="1" applyBorder="1" applyAlignment="1">
      <alignment vertical="top" wrapText="1"/>
    </xf>
    <xf numFmtId="183" fontId="12" fillId="0" borderId="7" xfId="0" applyNumberFormat="1" applyFont="1" applyBorder="1" applyAlignment="1">
      <alignment vertical="top" wrapText="1"/>
    </xf>
    <xf numFmtId="41" fontId="12" fillId="0" borderId="7" xfId="0" applyNumberFormat="1" applyFont="1" applyBorder="1" applyAlignment="1">
      <alignment vertical="top" wrapText="1"/>
    </xf>
    <xf numFmtId="0" fontId="28" fillId="0" borderId="22" xfId="0" applyFont="1" applyBorder="1" applyAlignment="1">
      <alignment horizontal="center" vertical="center" wrapText="1"/>
    </xf>
    <xf numFmtId="178" fontId="12" fillId="0" borderId="27" xfId="4" applyNumberFormat="1" applyFont="1" applyBorder="1" applyAlignment="1">
      <alignment vertical="center" wrapText="1"/>
    </xf>
    <xf numFmtId="178" fontId="12" fillId="0" borderId="27" xfId="0" applyNumberFormat="1" applyFont="1" applyBorder="1" applyAlignment="1">
      <alignment vertical="center" wrapText="1"/>
    </xf>
    <xf numFmtId="183" fontId="12" fillId="0" borderId="27" xfId="0" applyNumberFormat="1" applyFont="1" applyBorder="1" applyAlignment="1">
      <alignment vertical="center" wrapText="1"/>
    </xf>
    <xf numFmtId="41" fontId="12" fillId="0" borderId="27" xfId="0" applyNumberFormat="1" applyFont="1" applyBorder="1" applyAlignment="1">
      <alignment vertical="center" wrapText="1"/>
    </xf>
    <xf numFmtId="183" fontId="12" fillId="0" borderId="18" xfId="0" applyNumberFormat="1" applyFont="1" applyBorder="1" applyAlignment="1">
      <alignment vertical="center" wrapText="1"/>
    </xf>
    <xf numFmtId="183" fontId="12" fillId="0" borderId="14" xfId="0" applyNumberFormat="1" applyFont="1" applyBorder="1" applyAlignment="1">
      <alignment vertical="top" wrapText="1"/>
    </xf>
    <xf numFmtId="0" fontId="28" fillId="0" borderId="21" xfId="0" applyFont="1" applyBorder="1" applyAlignment="1">
      <alignment horizontal="justify" wrapText="1"/>
    </xf>
    <xf numFmtId="177" fontId="12" fillId="0" borderId="7" xfId="0" applyNumberFormat="1" applyFont="1" applyBorder="1" applyAlignment="1">
      <alignment horizontal="right" wrapText="1"/>
    </xf>
    <xf numFmtId="0" fontId="12" fillId="0" borderId="5" xfId="0" applyFont="1" applyBorder="1" applyAlignment="1">
      <alignment wrapText="1"/>
    </xf>
    <xf numFmtId="0" fontId="12" fillId="0" borderId="0" xfId="0" applyFont="1" applyBorder="1" applyAlignment="1">
      <alignment wrapText="1"/>
    </xf>
    <xf numFmtId="0" fontId="12" fillId="0" borderId="24" xfId="0" applyFont="1" applyBorder="1" applyAlignment="1">
      <alignment wrapText="1"/>
    </xf>
    <xf numFmtId="0" fontId="12" fillId="0" borderId="7" xfId="0" applyFont="1" applyBorder="1" applyAlignment="1">
      <alignment wrapText="1"/>
    </xf>
    <xf numFmtId="2" fontId="12" fillId="0" borderId="7" xfId="0" applyNumberFormat="1" applyFont="1" applyBorder="1" applyAlignment="1">
      <alignment wrapText="1"/>
    </xf>
    <xf numFmtId="2" fontId="12" fillId="0" borderId="11" xfId="0" applyNumberFormat="1" applyFont="1" applyBorder="1" applyAlignment="1">
      <alignment wrapText="1"/>
    </xf>
    <xf numFmtId="0" fontId="64" fillId="0" borderId="0" xfId="0" applyFont="1"/>
    <xf numFmtId="0" fontId="12" fillId="0" borderId="21" xfId="0" applyFont="1" applyBorder="1" applyAlignment="1">
      <alignment vertical="center"/>
    </xf>
    <xf numFmtId="0" fontId="12" fillId="0" borderId="5" xfId="0" applyFont="1" applyBorder="1" applyAlignment="1">
      <alignment vertical="center"/>
    </xf>
    <xf numFmtId="178" fontId="12" fillId="0" borderId="5" xfId="0" applyNumberFormat="1" applyFont="1" applyBorder="1" applyAlignment="1">
      <alignment vertical="center"/>
    </xf>
    <xf numFmtId="178" fontId="12" fillId="0" borderId="14" xfId="0" applyNumberFormat="1" applyFont="1" applyBorder="1" applyAlignment="1">
      <alignment vertical="center"/>
    </xf>
    <xf numFmtId="177" fontId="28" fillId="0" borderId="24" xfId="4" applyNumberFormat="1" applyFont="1" applyFill="1" applyBorder="1" applyAlignment="1"/>
    <xf numFmtId="177" fontId="28" fillId="0" borderId="14" xfId="4" applyNumberFormat="1" applyFont="1" applyFill="1" applyBorder="1" applyAlignment="1"/>
    <xf numFmtId="0" fontId="12" fillId="0" borderId="0" xfId="0" applyFont="1" applyBorder="1" applyAlignment="1">
      <alignment horizontal="center" vertical="top"/>
    </xf>
    <xf numFmtId="177" fontId="12" fillId="0" borderId="24" xfId="4" applyNumberFormat="1" applyFont="1" applyBorder="1" applyAlignment="1">
      <alignment vertical="top"/>
    </xf>
    <xf numFmtId="0" fontId="10" fillId="0" borderId="30" xfId="0" applyFont="1" applyBorder="1" applyAlignment="1">
      <alignment horizontal="left" vertical="top"/>
    </xf>
    <xf numFmtId="177" fontId="12" fillId="0" borderId="5" xfId="4" applyNumberFormat="1" applyFont="1" applyBorder="1" applyAlignment="1">
      <alignment vertical="top"/>
    </xf>
    <xf numFmtId="0" fontId="12" fillId="0" borderId="14" xfId="0" applyFont="1" applyBorder="1" applyAlignment="1">
      <alignment vertical="top"/>
    </xf>
    <xf numFmtId="0" fontId="8" fillId="0" borderId="11" xfId="0" applyFont="1" applyBorder="1" applyAlignment="1">
      <alignment horizontal="justify" vertical="top" wrapText="1"/>
    </xf>
    <xf numFmtId="0" fontId="12" fillId="0" borderId="23" xfId="0" applyFont="1" applyBorder="1" applyAlignment="1">
      <alignment horizontal="center" wrapText="1"/>
    </xf>
    <xf numFmtId="0" fontId="12" fillId="0" borderId="17" xfId="0" applyFont="1" applyBorder="1" applyAlignment="1">
      <alignment wrapText="1"/>
    </xf>
    <xf numFmtId="177" fontId="12" fillId="0" borderId="17" xfId="0" applyNumberFormat="1" applyFont="1" applyBorder="1" applyAlignment="1">
      <alignment wrapText="1"/>
    </xf>
    <xf numFmtId="0" fontId="12" fillId="0" borderId="13" xfId="0" applyFont="1" applyBorder="1" applyAlignment="1">
      <alignment wrapText="1"/>
    </xf>
    <xf numFmtId="41" fontId="12" fillId="0" borderId="7" xfId="0" applyNumberFormat="1" applyFont="1" applyBorder="1" applyAlignment="1">
      <alignment horizontal="right" wrapText="1"/>
    </xf>
    <xf numFmtId="41" fontId="5" fillId="0" borderId="7" xfId="0" applyNumberFormat="1" applyFont="1" applyBorder="1" applyAlignment="1">
      <alignment horizontal="right" wrapText="1"/>
    </xf>
    <xf numFmtId="0" fontId="16" fillId="0" borderId="0" xfId="0" applyFont="1" applyAlignment="1">
      <alignment horizontal="center"/>
    </xf>
    <xf numFmtId="0" fontId="19" fillId="0" borderId="0" xfId="0" applyFont="1" applyAlignment="1">
      <alignment horizontal="center"/>
    </xf>
    <xf numFmtId="0" fontId="17" fillId="0" borderId="0" xfId="0" applyFont="1" applyAlignment="1">
      <alignment horizontal="center"/>
    </xf>
    <xf numFmtId="0" fontId="0" fillId="0" borderId="0" xfId="0" applyAlignment="1">
      <alignment horizontal="center" vertical="top"/>
    </xf>
    <xf numFmtId="177" fontId="35" fillId="0" borderId="24" xfId="4" applyNumberFormat="1" applyFont="1" applyFill="1" applyBorder="1" applyAlignment="1">
      <alignment horizontal="center"/>
    </xf>
    <xf numFmtId="177" fontId="35" fillId="0" borderId="5" xfId="4" applyNumberFormat="1" applyFont="1" applyFill="1" applyBorder="1" applyAlignment="1">
      <alignment horizontal="center"/>
    </xf>
    <xf numFmtId="177" fontId="28" fillId="0" borderId="17" xfId="4" applyNumberFormat="1" applyFont="1" applyFill="1" applyBorder="1" applyAlignment="1"/>
    <xf numFmtId="177" fontId="5" fillId="0" borderId="0" xfId="0" applyNumberFormat="1" applyFont="1"/>
    <xf numFmtId="177" fontId="35" fillId="0" borderId="17" xfId="4" applyNumberFormat="1" applyFont="1" applyFill="1" applyBorder="1" applyAlignment="1">
      <alignment horizontal="center"/>
    </xf>
    <xf numFmtId="177" fontId="31" fillId="0" borderId="5" xfId="4" applyNumberFormat="1" applyFont="1" applyFill="1" applyBorder="1" applyAlignment="1">
      <alignment horizontal="left" indent="1"/>
    </xf>
    <xf numFmtId="41" fontId="31" fillId="0" borderId="5" xfId="4" applyNumberFormat="1" applyFont="1" applyFill="1" applyBorder="1" applyAlignment="1">
      <alignment horizontal="left" indent="2"/>
    </xf>
    <xf numFmtId="41" fontId="31" fillId="0" borderId="5" xfId="4" applyNumberFormat="1" applyFont="1" applyFill="1" applyBorder="1" applyAlignment="1">
      <alignment horizontal="left" vertical="top" wrapText="1" indent="2"/>
    </xf>
    <xf numFmtId="0" fontId="31" fillId="0" borderId="0" xfId="0" applyFont="1" applyAlignment="1">
      <alignment vertical="top"/>
    </xf>
    <xf numFmtId="41" fontId="31" fillId="0" borderId="5" xfId="0" applyNumberFormat="1" applyFont="1" applyFill="1" applyBorder="1" applyAlignment="1">
      <alignment vertical="top"/>
    </xf>
    <xf numFmtId="41" fontId="31" fillId="0" borderId="5" xfId="0" applyNumberFormat="1" applyFont="1" applyFill="1" applyBorder="1" applyAlignment="1">
      <alignment horizontal="left" vertical="center" indent="2"/>
    </xf>
    <xf numFmtId="41" fontId="31" fillId="0" borderId="5" xfId="0" applyNumberFormat="1" applyFont="1" applyFill="1" applyBorder="1" applyAlignment="1">
      <alignment vertical="center"/>
    </xf>
    <xf numFmtId="41" fontId="31" fillId="0" borderId="5" xfId="4" applyNumberFormat="1" applyFont="1" applyFill="1" applyBorder="1" applyAlignment="1">
      <alignment vertical="center"/>
    </xf>
    <xf numFmtId="0" fontId="31" fillId="0" borderId="0" xfId="0" applyFont="1" applyAlignment="1">
      <alignment vertical="center"/>
    </xf>
    <xf numFmtId="41" fontId="31" fillId="0" borderId="5" xfId="4" applyNumberFormat="1" applyFont="1" applyFill="1" applyBorder="1" applyAlignment="1">
      <alignment horizontal="left" vertical="center" indent="2"/>
    </xf>
    <xf numFmtId="41" fontId="31" fillId="0" borderId="5" xfId="4" applyNumberFormat="1" applyFont="1" applyFill="1" applyBorder="1" applyAlignment="1">
      <alignment horizontal="left" indent="1"/>
    </xf>
    <xf numFmtId="0" fontId="31" fillId="0" borderId="8" xfId="0" applyFont="1" applyFill="1" applyBorder="1" applyAlignment="1">
      <alignment horizontal="left"/>
    </xf>
    <xf numFmtId="0" fontId="31" fillId="0" borderId="6" xfId="0" applyFont="1" applyFill="1" applyBorder="1" applyAlignment="1">
      <alignment horizontal="left"/>
    </xf>
    <xf numFmtId="0" fontId="30" fillId="0" borderId="0" xfId="0" applyFont="1" applyBorder="1" applyAlignment="1"/>
    <xf numFmtId="0" fontId="25" fillId="0" borderId="0" xfId="0" applyFont="1" applyBorder="1" applyAlignment="1"/>
    <xf numFmtId="177" fontId="31" fillId="0" borderId="20" xfId="0" applyNumberFormat="1" applyFont="1" applyFill="1" applyBorder="1"/>
    <xf numFmtId="177" fontId="5" fillId="0" borderId="14" xfId="4" applyNumberFormat="1" applyFont="1" applyFill="1" applyBorder="1" applyAlignment="1"/>
    <xf numFmtId="0" fontId="24" fillId="0" borderId="8" xfId="0" applyFont="1" applyFill="1" applyBorder="1" applyAlignment="1">
      <alignment horizontal="left"/>
    </xf>
    <xf numFmtId="0" fontId="31" fillId="0" borderId="0" xfId="0" applyFont="1" applyFill="1" applyBorder="1" applyAlignment="1"/>
    <xf numFmtId="177" fontId="31" fillId="0" borderId="14" xfId="4" applyNumberFormat="1" applyFont="1" applyFill="1" applyBorder="1"/>
    <xf numFmtId="0" fontId="32" fillId="0" borderId="0" xfId="0" applyFont="1" applyAlignment="1">
      <alignment horizontal="left"/>
    </xf>
    <xf numFmtId="10" fontId="32" fillId="0" borderId="0" xfId="0" applyNumberFormat="1" applyFont="1"/>
    <xf numFmtId="0" fontId="32" fillId="0" borderId="0" xfId="0" applyFont="1" applyAlignment="1">
      <alignment horizontal="right"/>
    </xf>
    <xf numFmtId="180" fontId="8" fillId="0" borderId="16" xfId="4" applyNumberFormat="1" applyFont="1" applyFill="1" applyBorder="1"/>
    <xf numFmtId="0" fontId="28" fillId="0" borderId="5" xfId="0" applyFont="1" applyFill="1" applyBorder="1" applyAlignment="1">
      <alignment wrapText="1"/>
    </xf>
    <xf numFmtId="177" fontId="11" fillId="0" borderId="37" xfId="4" applyNumberFormat="1" applyFont="1" applyFill="1" applyBorder="1"/>
    <xf numFmtId="177" fontId="9" fillId="0" borderId="21" xfId="4" applyNumberFormat="1" applyFont="1" applyFill="1" applyBorder="1"/>
    <xf numFmtId="177" fontId="11" fillId="0" borderId="21" xfId="4" applyNumberFormat="1" applyFont="1" applyFill="1" applyBorder="1"/>
    <xf numFmtId="178" fontId="11" fillId="0" borderId="21" xfId="4" applyNumberFormat="1" applyFont="1" applyFill="1" applyBorder="1"/>
    <xf numFmtId="177" fontId="28" fillId="0" borderId="7" xfId="4" applyNumberFormat="1" applyFont="1" applyFill="1" applyBorder="1"/>
    <xf numFmtId="177" fontId="28" fillId="0" borderId="21" xfId="4" applyNumberFormat="1" applyFont="1" applyFill="1" applyBorder="1"/>
    <xf numFmtId="177" fontId="24" fillId="0" borderId="20" xfId="4" applyNumberFormat="1" applyFont="1" applyFill="1" applyBorder="1"/>
    <xf numFmtId="178" fontId="5" fillId="0" borderId="48" xfId="0" applyNumberFormat="1" applyFont="1" applyBorder="1" applyAlignment="1">
      <alignment vertical="center"/>
    </xf>
    <xf numFmtId="177" fontId="5" fillId="0" borderId="5" xfId="4" applyNumberFormat="1" applyFont="1" applyFill="1" applyBorder="1" applyAlignment="1">
      <alignment vertical="top" wrapText="1"/>
    </xf>
    <xf numFmtId="0" fontId="30" fillId="0" borderId="0" xfId="0" applyFont="1" applyFill="1" applyBorder="1" applyAlignment="1"/>
    <xf numFmtId="0" fontId="31" fillId="0" borderId="31" xfId="0" applyFont="1" applyBorder="1" applyAlignment="1">
      <alignment horizontal="center" vertical="center"/>
    </xf>
    <xf numFmtId="177" fontId="28" fillId="0" borderId="37" xfId="4" applyNumberFormat="1" applyFont="1" applyFill="1" applyBorder="1" applyAlignment="1"/>
    <xf numFmtId="177" fontId="28" fillId="0" borderId="30" xfId="4" applyNumberFormat="1" applyFont="1" applyFill="1" applyBorder="1" applyAlignment="1"/>
    <xf numFmtId="41" fontId="31" fillId="0" borderId="21" xfId="4" applyNumberFormat="1" applyFont="1" applyFill="1" applyBorder="1" applyAlignment="1"/>
    <xf numFmtId="41" fontId="31" fillId="0" borderId="21" xfId="4" applyNumberFormat="1" applyFont="1" applyFill="1" applyBorder="1" applyAlignment="1">
      <alignment vertical="center"/>
    </xf>
    <xf numFmtId="41" fontId="31" fillId="0" borderId="21" xfId="4" applyNumberFormat="1" applyFont="1" applyFill="1" applyBorder="1" applyAlignment="1">
      <alignment vertical="top"/>
    </xf>
    <xf numFmtId="41" fontId="31" fillId="0" borderId="21" xfId="0" applyNumberFormat="1" applyFont="1" applyFill="1" applyBorder="1" applyAlignment="1">
      <alignment vertical="center"/>
    </xf>
    <xf numFmtId="41" fontId="31" fillId="0" borderId="21" xfId="0" applyNumberFormat="1" applyFont="1" applyFill="1" applyBorder="1" applyAlignment="1">
      <alignment vertical="top"/>
    </xf>
    <xf numFmtId="177" fontId="28" fillId="0" borderId="21" xfId="4" applyNumberFormat="1" applyFont="1" applyFill="1" applyBorder="1" applyAlignment="1"/>
    <xf numFmtId="41" fontId="31" fillId="0" borderId="21" xfId="4" applyNumberFormat="1" applyFont="1" applyFill="1" applyBorder="1"/>
    <xf numFmtId="41" fontId="31" fillId="0" borderId="21" xfId="0" applyNumberFormat="1" applyFont="1" applyBorder="1"/>
    <xf numFmtId="177" fontId="28" fillId="0" borderId="22" xfId="4" applyNumberFormat="1" applyFont="1" applyFill="1" applyBorder="1" applyAlignment="1"/>
    <xf numFmtId="177" fontId="28" fillId="0" borderId="18" xfId="4" applyNumberFormat="1" applyFont="1" applyFill="1" applyBorder="1" applyAlignment="1"/>
    <xf numFmtId="0" fontId="5" fillId="0" borderId="5" xfId="0" applyFont="1" applyFill="1" applyBorder="1" applyAlignment="1">
      <alignment vertical="top" wrapText="1"/>
    </xf>
    <xf numFmtId="177" fontId="5" fillId="0" borderId="7" xfId="4" applyNumberFormat="1" applyFont="1" applyFill="1" applyBorder="1" applyAlignment="1">
      <alignment horizontal="right" wrapText="1"/>
    </xf>
    <xf numFmtId="41" fontId="24" fillId="0" borderId="9" xfId="0" applyNumberFormat="1" applyFont="1" applyBorder="1" applyAlignment="1">
      <alignment horizontal="center" vertical="center" wrapText="1"/>
    </xf>
    <xf numFmtId="41" fontId="31" fillId="0" borderId="31" xfId="0" applyNumberFormat="1" applyFont="1" applyBorder="1" applyAlignment="1">
      <alignment horizontal="center" vertical="center" wrapText="1"/>
    </xf>
    <xf numFmtId="41" fontId="31" fillId="0" borderId="10" xfId="0" applyNumberFormat="1" applyFont="1" applyBorder="1" applyAlignment="1">
      <alignment horizontal="center" vertical="center" wrapText="1"/>
    </xf>
    <xf numFmtId="10" fontId="5" fillId="0" borderId="0" xfId="0" applyNumberFormat="1" applyFont="1"/>
    <xf numFmtId="0" fontId="37" fillId="0" borderId="0" xfId="0" applyFont="1" applyAlignment="1"/>
    <xf numFmtId="177" fontId="31" fillId="0" borderId="18" xfId="4" applyNumberFormat="1" applyFont="1" applyFill="1" applyBorder="1"/>
    <xf numFmtId="0" fontId="28" fillId="0" borderId="28" xfId="0" applyFont="1" applyBorder="1" applyAlignment="1">
      <alignment horizontal="left"/>
    </xf>
    <xf numFmtId="0" fontId="28" fillId="0" borderId="7" xfId="0" applyFont="1" applyFill="1" applyBorder="1"/>
    <xf numFmtId="0" fontId="28" fillId="0" borderId="0" xfId="0" applyFont="1" applyFill="1" applyBorder="1" applyAlignment="1"/>
    <xf numFmtId="0" fontId="28" fillId="0" borderId="7" xfId="0" applyFont="1" applyBorder="1" applyAlignment="1"/>
    <xf numFmtId="0" fontId="31" fillId="0" borderId="38" xfId="0" applyFont="1" applyBorder="1" applyAlignment="1">
      <alignment horizontal="center"/>
    </xf>
    <xf numFmtId="177" fontId="35" fillId="0" borderId="24" xfId="4" applyNumberFormat="1" applyFont="1" applyFill="1" applyBorder="1" applyAlignment="1">
      <alignment horizontal="center" vertical="center"/>
    </xf>
    <xf numFmtId="177" fontId="28" fillId="0" borderId="24" xfId="4" applyNumberFormat="1" applyFont="1" applyFill="1" applyBorder="1" applyAlignment="1">
      <alignment vertical="center"/>
    </xf>
    <xf numFmtId="177" fontId="28" fillId="0" borderId="30" xfId="4" applyNumberFormat="1" applyFont="1" applyFill="1" applyBorder="1" applyAlignment="1">
      <alignment vertical="center"/>
    </xf>
    <xf numFmtId="177" fontId="31" fillId="0" borderId="21" xfId="4" applyNumberFormat="1" applyFont="1" applyFill="1" applyBorder="1" applyAlignment="1">
      <alignment vertical="center"/>
    </xf>
    <xf numFmtId="177" fontId="31" fillId="0" borderId="5" xfId="4" applyNumberFormat="1" applyFont="1" applyFill="1" applyBorder="1" applyAlignment="1">
      <alignment vertical="center"/>
    </xf>
    <xf numFmtId="177" fontId="31" fillId="0" borderId="14" xfId="4" applyNumberFormat="1" applyFont="1" applyFill="1" applyBorder="1" applyAlignment="1">
      <alignment vertical="center"/>
    </xf>
    <xf numFmtId="177"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wrapText="1"/>
    </xf>
    <xf numFmtId="177" fontId="28" fillId="0" borderId="21" xfId="4" applyNumberFormat="1" applyFont="1" applyFill="1" applyBorder="1" applyAlignment="1">
      <alignment vertical="center"/>
    </xf>
    <xf numFmtId="177" fontId="35" fillId="0" borderId="5" xfId="4" applyNumberFormat="1" applyFont="1" applyFill="1" applyBorder="1" applyAlignment="1">
      <alignment horizontal="center" vertical="center"/>
    </xf>
    <xf numFmtId="177" fontId="28" fillId="0" borderId="5" xfId="4" applyNumberFormat="1" applyFont="1" applyFill="1" applyBorder="1" applyAlignment="1">
      <alignment vertical="center"/>
    </xf>
    <xf numFmtId="177" fontId="28" fillId="0" borderId="14" xfId="4" applyNumberFormat="1" applyFont="1" applyFill="1" applyBorder="1" applyAlignment="1">
      <alignment vertical="center"/>
    </xf>
    <xf numFmtId="41" fontId="31" fillId="0" borderId="14" xfId="0" applyNumberFormat="1" applyFont="1" applyFill="1" applyBorder="1" applyAlignment="1">
      <alignment vertical="center"/>
    </xf>
    <xf numFmtId="41" fontId="31" fillId="0" borderId="5" xfId="0" applyNumberFormat="1" applyFont="1" applyBorder="1" applyAlignment="1">
      <alignment vertical="center"/>
    </xf>
    <xf numFmtId="177" fontId="35" fillId="0" borderId="17" xfId="4" applyNumberFormat="1" applyFont="1" applyFill="1" applyBorder="1" applyAlignment="1">
      <alignment horizontal="center" vertical="center"/>
    </xf>
    <xf numFmtId="177" fontId="28" fillId="0" borderId="17" xfId="4" applyNumberFormat="1" applyFont="1" applyFill="1" applyBorder="1" applyAlignment="1">
      <alignment vertical="center"/>
    </xf>
    <xf numFmtId="177" fontId="28" fillId="0" borderId="18" xfId="4" applyNumberFormat="1" applyFont="1" applyFill="1" applyBorder="1" applyAlignment="1">
      <alignment vertical="center"/>
    </xf>
    <xf numFmtId="177" fontId="28" fillId="0" borderId="30" xfId="4" applyNumberFormat="1" applyFont="1" applyFill="1" applyBorder="1"/>
    <xf numFmtId="0" fontId="79" fillId="0" borderId="0" xfId="0" applyFont="1" applyAlignment="1">
      <alignment horizontal="right"/>
    </xf>
    <xf numFmtId="0" fontId="48" fillId="0" borderId="0" xfId="0" applyFont="1"/>
    <xf numFmtId="177" fontId="24" fillId="0" borderId="0" xfId="0" applyNumberFormat="1" applyFont="1"/>
    <xf numFmtId="177" fontId="56" fillId="3" borderId="16" xfId="4" applyNumberFormat="1" applyFont="1" applyFill="1" applyBorder="1"/>
    <xf numFmtId="177" fontId="5" fillId="0" borderId="0" xfId="4" applyNumberFormat="1" applyFont="1" applyFill="1" applyAlignment="1">
      <alignment vertical="top"/>
    </xf>
    <xf numFmtId="177" fontId="31" fillId="0" borderId="22" xfId="4" applyNumberFormat="1" applyFont="1" applyFill="1" applyBorder="1"/>
    <xf numFmtId="0" fontId="5" fillId="0" borderId="5" xfId="0" applyFont="1" applyFill="1" applyBorder="1" applyAlignment="1">
      <alignment vertical="center"/>
    </xf>
    <xf numFmtId="177" fontId="5" fillId="0" borderId="4" xfId="4" applyNumberFormat="1" applyFont="1" applyFill="1" applyBorder="1" applyAlignment="1"/>
    <xf numFmtId="0" fontId="28" fillId="0" borderId="35" xfId="0" applyFont="1" applyFill="1" applyBorder="1"/>
    <xf numFmtId="0" fontId="24" fillId="0" borderId="12" xfId="0" applyFont="1" applyFill="1" applyBorder="1"/>
    <xf numFmtId="177" fontId="28" fillId="0" borderId="14" xfId="4" applyNumberFormat="1" applyFont="1" applyFill="1" applyBorder="1"/>
    <xf numFmtId="0" fontId="65" fillId="0" borderId="5" xfId="0" applyFont="1" applyFill="1" applyBorder="1" applyAlignment="1">
      <alignment horizontal="left" wrapText="1"/>
    </xf>
    <xf numFmtId="0" fontId="65" fillId="0" borderId="5" xfId="0" applyFont="1" applyFill="1" applyBorder="1" applyAlignment="1"/>
    <xf numFmtId="0" fontId="65" fillId="0" borderId="5" xfId="0" applyFont="1" applyFill="1" applyBorder="1" applyAlignment="1">
      <alignment wrapText="1"/>
    </xf>
    <xf numFmtId="0" fontId="65" fillId="0" borderId="5" xfId="0" applyFont="1" applyFill="1" applyBorder="1" applyAlignment="1">
      <alignment horizontal="left"/>
    </xf>
    <xf numFmtId="0" fontId="5" fillId="0" borderId="45" xfId="0" applyFont="1" applyFill="1" applyBorder="1" applyAlignment="1">
      <alignment vertical="top" wrapText="1"/>
    </xf>
    <xf numFmtId="0" fontId="8" fillId="0" borderId="11" xfId="0" applyFont="1" applyFill="1" applyBorder="1" applyAlignment="1">
      <alignment vertical="top" wrapText="1"/>
    </xf>
    <xf numFmtId="0" fontId="31" fillId="0" borderId="24" xfId="0" applyFont="1" applyFill="1" applyBorder="1"/>
    <xf numFmtId="177" fontId="31" fillId="0" borderId="24" xfId="4" applyNumberFormat="1" applyFont="1" applyFill="1" applyBorder="1"/>
    <xf numFmtId="0" fontId="33" fillId="0" borderId="5" xfId="0" applyFont="1" applyFill="1" applyBorder="1"/>
    <xf numFmtId="41" fontId="31" fillId="0" borderId="5" xfId="4" applyNumberFormat="1" applyFont="1" applyFill="1" applyBorder="1" applyAlignment="1">
      <alignment vertical="top"/>
    </xf>
    <xf numFmtId="0" fontId="31" fillId="0" borderId="0" xfId="0" applyFont="1" applyFill="1" applyAlignment="1">
      <alignment vertical="center"/>
    </xf>
    <xf numFmtId="0" fontId="31" fillId="0" borderId="0" xfId="0" applyFont="1" applyFill="1" applyAlignment="1">
      <alignment vertical="top"/>
    </xf>
    <xf numFmtId="0" fontId="28" fillId="0" borderId="24" xfId="0" applyFont="1" applyFill="1" applyBorder="1"/>
    <xf numFmtId="177" fontId="12" fillId="0" borderId="0" xfId="4" applyNumberFormat="1" applyFont="1" applyFill="1"/>
    <xf numFmtId="49" fontId="12" fillId="0" borderId="0" xfId="4" applyNumberFormat="1" applyFont="1" applyFill="1"/>
    <xf numFmtId="177" fontId="12" fillId="0" borderId="0" xfId="4" applyNumberFormat="1" applyFont="1" applyFill="1" applyAlignment="1">
      <alignment horizontal="center" vertical="center"/>
    </xf>
    <xf numFmtId="177" fontId="12" fillId="0" borderId="0" xfId="4" applyNumberFormat="1" applyFont="1" applyFill="1" applyAlignment="1">
      <alignment vertical="center"/>
    </xf>
    <xf numFmtId="177" fontId="10" fillId="0" borderId="0" xfId="4" applyNumberFormat="1" applyFont="1" applyFill="1" applyAlignment="1">
      <alignment horizontal="right" vertical="center"/>
    </xf>
    <xf numFmtId="177" fontId="10" fillId="0" borderId="3" xfId="4" applyNumberFormat="1" applyFont="1" applyFill="1" applyBorder="1" applyAlignment="1">
      <alignment horizontal="center" vertical="center"/>
    </xf>
    <xf numFmtId="49" fontId="10" fillId="0" borderId="3" xfId="4" applyNumberFormat="1" applyFont="1" applyFill="1" applyBorder="1" applyAlignment="1">
      <alignment horizontal="left" vertical="center"/>
    </xf>
    <xf numFmtId="177" fontId="62" fillId="0" borderId="35" xfId="0" applyNumberFormat="1" applyFont="1" applyFill="1" applyBorder="1" applyAlignment="1">
      <alignment vertical="center" shrinkToFit="1"/>
    </xf>
    <xf numFmtId="49" fontId="40" fillId="0" borderId="35" xfId="4" applyNumberFormat="1" applyFont="1" applyFill="1" applyBorder="1" applyAlignment="1">
      <alignment horizontal="center" vertical="center" shrinkToFit="1"/>
    </xf>
    <xf numFmtId="0" fontId="5" fillId="0" borderId="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5"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5" fillId="0" borderId="0" xfId="0" applyFont="1" applyFill="1" applyBorder="1" applyAlignment="1">
      <alignment vertical="center"/>
    </xf>
    <xf numFmtId="0" fontId="5" fillId="0" borderId="3" xfId="0" applyFont="1" applyBorder="1" applyAlignment="1">
      <alignment horizontal="center" vertical="center" wrapText="1"/>
    </xf>
    <xf numFmtId="0" fontId="5" fillId="0" borderId="21" xfId="0" applyFont="1" applyBorder="1" applyAlignment="1">
      <alignment horizontal="center" vertical="center"/>
    </xf>
    <xf numFmtId="0" fontId="5" fillId="0" borderId="5" xfId="0" applyFont="1" applyBorder="1" applyAlignment="1">
      <alignment vertical="top" shrinkToFit="1"/>
    </xf>
    <xf numFmtId="0" fontId="5" fillId="0" borderId="5" xfId="0" applyFont="1" applyBorder="1" applyAlignment="1">
      <alignment shrinkToFit="1"/>
    </xf>
    <xf numFmtId="0" fontId="5" fillId="0" borderId="17" xfId="0" applyFont="1" applyBorder="1" applyAlignment="1">
      <alignment shrinkToFit="1"/>
    </xf>
    <xf numFmtId="178" fontId="5" fillId="0" borderId="5" xfId="0" applyNumberFormat="1" applyFont="1" applyBorder="1" applyAlignment="1">
      <alignment vertical="top" shrinkToFit="1"/>
    </xf>
    <xf numFmtId="178" fontId="5" fillId="0" borderId="5" xfId="0" applyNumberFormat="1" applyFont="1" applyFill="1" applyBorder="1" applyAlignment="1">
      <alignment vertical="top" shrinkToFit="1"/>
    </xf>
    <xf numFmtId="178" fontId="5" fillId="0" borderId="5" xfId="0" applyNumberFormat="1" applyFont="1" applyBorder="1" applyAlignment="1">
      <alignment shrinkToFit="1"/>
    </xf>
    <xf numFmtId="41" fontId="5" fillId="0" borderId="5" xfId="5" applyFont="1" applyBorder="1" applyAlignment="1">
      <alignment vertical="top" shrinkToFit="1"/>
    </xf>
    <xf numFmtId="177" fontId="5"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5" fillId="0" borderId="5" xfId="4" applyNumberFormat="1" applyFont="1" applyBorder="1" applyAlignment="1">
      <alignment shrinkToFit="1"/>
    </xf>
    <xf numFmtId="178" fontId="5" fillId="0" borderId="5" xfId="0" applyNumberFormat="1" applyFont="1" applyBorder="1" applyAlignment="1">
      <alignment vertical="top"/>
    </xf>
    <xf numFmtId="178" fontId="5" fillId="0" borderId="5" xfId="0" applyNumberFormat="1" applyFont="1" applyFill="1" applyBorder="1" applyAlignment="1">
      <alignment vertical="top"/>
    </xf>
    <xf numFmtId="178" fontId="12" fillId="0" borderId="5" xfId="0" applyNumberFormat="1" applyFont="1" applyBorder="1" applyAlignment="1">
      <alignment vertical="top"/>
    </xf>
    <xf numFmtId="178" fontId="12" fillId="0" borderId="24" xfId="0" applyNumberFormat="1" applyFont="1" applyBorder="1" applyAlignment="1">
      <alignment vertical="top"/>
    </xf>
    <xf numFmtId="0" fontId="7" fillId="0" borderId="0" xfId="0" applyFont="1" applyAlignment="1">
      <alignment horizontal="justify"/>
    </xf>
    <xf numFmtId="0" fontId="67" fillId="0" borderId="0" xfId="0" applyFont="1" applyFill="1"/>
    <xf numFmtId="0" fontId="13" fillId="0" borderId="0" xfId="0" applyFont="1" applyFill="1"/>
    <xf numFmtId="0" fontId="8" fillId="0" borderId="0" xfId="0" applyFont="1" applyFill="1" applyAlignment="1">
      <alignment horizontal="center"/>
    </xf>
    <xf numFmtId="0" fontId="5" fillId="0" borderId="0" xfId="0" applyFont="1" applyFill="1" applyAlignment="1">
      <alignment horizontal="right"/>
    </xf>
    <xf numFmtId="0" fontId="13" fillId="0" borderId="0" xfId="0" applyFont="1" applyFill="1" applyAlignment="1">
      <alignment vertical="center"/>
    </xf>
    <xf numFmtId="0" fontId="5" fillId="0" borderId="34"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9" xfId="0" applyFont="1" applyFill="1" applyBorder="1" applyAlignment="1">
      <alignment horizontal="center" vertical="center"/>
    </xf>
    <xf numFmtId="0" fontId="75" fillId="0" borderId="0" xfId="0" applyFont="1" applyFill="1"/>
    <xf numFmtId="0" fontId="57" fillId="0" borderId="0" xfId="0" applyFont="1" applyFill="1"/>
    <xf numFmtId="0" fontId="8" fillId="0" borderId="22" xfId="0" applyFont="1" applyFill="1" applyBorder="1"/>
    <xf numFmtId="0" fontId="8" fillId="0" borderId="17" xfId="0" applyFont="1" applyFill="1" applyBorder="1"/>
    <xf numFmtId="0" fontId="5" fillId="0" borderId="17" xfId="0" applyFont="1" applyFill="1" applyBorder="1"/>
    <xf numFmtId="0" fontId="8" fillId="0" borderId="18" xfId="0" applyFont="1" applyFill="1" applyBorder="1"/>
    <xf numFmtId="0" fontId="5" fillId="0" borderId="0" xfId="0" applyFont="1" applyFill="1"/>
    <xf numFmtId="0" fontId="17" fillId="0" borderId="0" xfId="0" applyFont="1" applyFill="1" applyAlignment="1">
      <alignment horizontal="left"/>
    </xf>
    <xf numFmtId="0" fontId="66" fillId="0" borderId="0" xfId="0" applyFont="1" applyFill="1"/>
    <xf numFmtId="0" fontId="6" fillId="0" borderId="0" xfId="0" applyFont="1" applyFill="1" applyAlignment="1">
      <alignment horizontal="center"/>
    </xf>
    <xf numFmtId="0" fontId="0" fillId="0" borderId="0" xfId="0" applyFill="1"/>
    <xf numFmtId="0" fontId="7" fillId="0" borderId="0" xfId="0" applyFont="1" applyFill="1" applyAlignment="1">
      <alignment horizontal="center"/>
    </xf>
    <xf numFmtId="0" fontId="5" fillId="0" borderId="0" xfId="0" applyFont="1" applyFill="1" applyAlignment="1">
      <alignment horizontal="center"/>
    </xf>
    <xf numFmtId="0" fontId="3" fillId="0" borderId="3" xfId="0" applyFont="1" applyFill="1" applyBorder="1" applyAlignment="1">
      <alignment horizontal="center" vertical="center"/>
    </xf>
    <xf numFmtId="176" fontId="5" fillId="0" borderId="24" xfId="6" applyNumberFormat="1" applyFont="1" applyFill="1" applyBorder="1"/>
    <xf numFmtId="0" fontId="12" fillId="0" borderId="36" xfId="0" applyFont="1" applyFill="1" applyBorder="1"/>
    <xf numFmtId="0" fontId="12" fillId="0" borderId="38" xfId="0" applyFont="1" applyFill="1" applyBorder="1" applyAlignment="1">
      <alignment horizontal="center"/>
    </xf>
    <xf numFmtId="176" fontId="5" fillId="0" borderId="5" xfId="0" applyNumberFormat="1" applyFont="1" applyFill="1" applyBorder="1"/>
    <xf numFmtId="0" fontId="5" fillId="0" borderId="30" xfId="0" applyFont="1" applyFill="1" applyBorder="1"/>
    <xf numFmtId="176" fontId="5" fillId="0" borderId="5" xfId="6" applyNumberFormat="1" applyFont="1" applyFill="1" applyBorder="1"/>
    <xf numFmtId="0" fontId="5" fillId="0" borderId="7" xfId="0" applyFont="1" applyFill="1" applyBorder="1" applyAlignment="1">
      <alignment horizontal="center"/>
    </xf>
    <xf numFmtId="177" fontId="3" fillId="0" borderId="14" xfId="0" applyNumberFormat="1" applyFont="1" applyFill="1" applyBorder="1"/>
    <xf numFmtId="0" fontId="5" fillId="0" borderId="6" xfId="0" applyFont="1" applyFill="1" applyBorder="1"/>
    <xf numFmtId="41" fontId="5" fillId="0" borderId="5" xfId="5" applyFont="1" applyFill="1" applyBorder="1"/>
    <xf numFmtId="181" fontId="5" fillId="0" borderId="6" xfId="5" applyNumberFormat="1" applyFont="1" applyFill="1" applyBorder="1"/>
    <xf numFmtId="41" fontId="5" fillId="0" borderId="6" xfId="5" applyFont="1" applyFill="1" applyBorder="1"/>
    <xf numFmtId="0" fontId="12" fillId="0" borderId="6" xfId="0" applyFont="1" applyFill="1" applyBorder="1"/>
    <xf numFmtId="0" fontId="12" fillId="0" borderId="7" xfId="0" applyFont="1" applyFill="1" applyBorder="1" applyAlignment="1">
      <alignment horizontal="center"/>
    </xf>
    <xf numFmtId="0" fontId="5" fillId="0" borderId="14" xfId="0" applyFont="1" applyFill="1" applyBorder="1"/>
    <xf numFmtId="0" fontId="12" fillId="0" borderId="0" xfId="0" applyFont="1" applyFill="1" applyBorder="1" applyAlignment="1">
      <alignment horizontal="center"/>
    </xf>
    <xf numFmtId="177" fontId="8" fillId="0" borderId="14" xfId="0" applyNumberFormat="1" applyFont="1" applyFill="1" applyBorder="1"/>
    <xf numFmtId="179" fontId="5" fillId="0" borderId="14" xfId="0" applyNumberFormat="1" applyFont="1" applyFill="1" applyBorder="1"/>
    <xf numFmtId="0" fontId="5" fillId="0" borderId="0" xfId="0" applyFont="1" applyFill="1" applyBorder="1"/>
    <xf numFmtId="0" fontId="5" fillId="0" borderId="7" xfId="0" applyFont="1" applyFill="1" applyBorder="1"/>
    <xf numFmtId="41" fontId="8" fillId="0" borderId="21" xfId="5" applyFont="1" applyFill="1" applyBorder="1"/>
    <xf numFmtId="0" fontId="10" fillId="0" borderId="6" xfId="0" applyFont="1" applyFill="1" applyBorder="1"/>
    <xf numFmtId="0" fontId="8" fillId="0" borderId="7" xfId="0" applyFont="1" applyFill="1" applyBorder="1"/>
    <xf numFmtId="177" fontId="8" fillId="0" borderId="5" xfId="0" applyNumberFormat="1" applyFont="1" applyFill="1" applyBorder="1"/>
    <xf numFmtId="176" fontId="8" fillId="0" borderId="5" xfId="0" applyNumberFormat="1" applyFont="1" applyFill="1" applyBorder="1"/>
    <xf numFmtId="0" fontId="8" fillId="0" borderId="5" xfId="0" applyFont="1" applyFill="1" applyBorder="1"/>
    <xf numFmtId="0" fontId="8" fillId="0" borderId="27" xfId="0" applyFont="1" applyFill="1" applyBorder="1"/>
    <xf numFmtId="0" fontId="5" fillId="0" borderId="18" xfId="0" applyFont="1" applyFill="1" applyBorder="1"/>
    <xf numFmtId="0" fontId="17" fillId="0" borderId="0" xfId="0" applyFont="1" applyFill="1"/>
    <xf numFmtId="0" fontId="16" fillId="0" borderId="0" xfId="0" applyFont="1" applyFill="1"/>
    <xf numFmtId="0" fontId="7" fillId="0" borderId="0" xfId="0" applyFont="1" applyFill="1"/>
    <xf numFmtId="49" fontId="5" fillId="0" borderId="21" xfId="0" applyNumberFormat="1" applyFont="1" applyFill="1" applyBorder="1" applyAlignment="1">
      <alignment horizontal="left" vertical="center"/>
    </xf>
    <xf numFmtId="49" fontId="5" fillId="0" borderId="5" xfId="0" applyNumberFormat="1" applyFont="1" applyFill="1" applyBorder="1" applyAlignment="1">
      <alignment horizontal="center" vertical="center"/>
    </xf>
    <xf numFmtId="178" fontId="5" fillId="0" borderId="5" xfId="0" applyNumberFormat="1" applyFont="1" applyFill="1" applyBorder="1" applyAlignment="1">
      <alignment vertical="center"/>
    </xf>
    <xf numFmtId="178" fontId="5" fillId="0" borderId="14" xfId="0" applyNumberFormat="1" applyFont="1" applyFill="1" applyBorder="1" applyAlignment="1">
      <alignment vertical="center"/>
    </xf>
    <xf numFmtId="0" fontId="5" fillId="0" borderId="0" xfId="0" applyFont="1" applyFill="1" applyAlignment="1">
      <alignment vertical="center"/>
    </xf>
    <xf numFmtId="0" fontId="5" fillId="0" borderId="21" xfId="0" applyFont="1" applyFill="1" applyBorder="1" applyAlignment="1">
      <alignment vertical="center"/>
    </xf>
    <xf numFmtId="0" fontId="12" fillId="0" borderId="21" xfId="0" applyFont="1" applyFill="1" applyBorder="1" applyAlignment="1">
      <alignment vertical="center"/>
    </xf>
    <xf numFmtId="0" fontId="12" fillId="0" borderId="5" xfId="0" applyFont="1" applyFill="1" applyBorder="1" applyAlignment="1">
      <alignment vertical="center"/>
    </xf>
    <xf numFmtId="0" fontId="12" fillId="0" borderId="0" xfId="0" applyFont="1" applyFill="1" applyAlignment="1">
      <alignment vertical="center"/>
    </xf>
    <xf numFmtId="0" fontId="3" fillId="0" borderId="21" xfId="0" applyFont="1" applyFill="1" applyBorder="1" applyAlignment="1">
      <alignment vertical="center"/>
    </xf>
    <xf numFmtId="0" fontId="5" fillId="0" borderId="21" xfId="0" applyFont="1" applyFill="1" applyBorder="1"/>
    <xf numFmtId="0" fontId="5" fillId="0" borderId="22" xfId="0" applyFont="1" applyFill="1" applyBorder="1"/>
    <xf numFmtId="41" fontId="31" fillId="0" borderId="6" xfId="0" applyNumberFormat="1" applyFont="1" applyFill="1" applyBorder="1"/>
    <xf numFmtId="177" fontId="12" fillId="0" borderId="34" xfId="4" applyNumberFormat="1" applyFont="1" applyFill="1" applyBorder="1"/>
    <xf numFmtId="49" fontId="10" fillId="0" borderId="39" xfId="4" applyNumberFormat="1" applyFont="1" applyFill="1" applyBorder="1" applyAlignment="1">
      <alignment vertical="top" wrapText="1"/>
    </xf>
    <xf numFmtId="177" fontId="5" fillId="0" borderId="34" xfId="4" applyNumberFormat="1" applyFont="1" applyFill="1" applyBorder="1" applyAlignment="1">
      <alignment horizontal="center" vertical="center"/>
    </xf>
    <xf numFmtId="177" fontId="8" fillId="0" borderId="39" xfId="4" applyNumberFormat="1" applyFont="1" applyFill="1" applyBorder="1" applyAlignment="1">
      <alignment vertical="top" wrapText="1"/>
    </xf>
    <xf numFmtId="177" fontId="12" fillId="0" borderId="34" xfId="4" applyNumberFormat="1" applyFont="1" applyFill="1" applyBorder="1" applyAlignment="1">
      <alignment horizontal="center" vertical="center"/>
    </xf>
    <xf numFmtId="177" fontId="12" fillId="0" borderId="60" xfId="4" applyNumberFormat="1" applyFont="1" applyFill="1" applyBorder="1"/>
    <xf numFmtId="177" fontId="10" fillId="0" borderId="61" xfId="4" applyNumberFormat="1" applyFont="1" applyFill="1" applyBorder="1" applyAlignment="1">
      <alignment horizontal="center" vertical="center"/>
    </xf>
    <xf numFmtId="177" fontId="10" fillId="0" borderId="61" xfId="4" applyNumberFormat="1" applyFont="1" applyFill="1" applyBorder="1" applyAlignment="1">
      <alignment vertical="center"/>
    </xf>
    <xf numFmtId="177" fontId="10" fillId="0" borderId="61" xfId="4" applyNumberFormat="1" applyFont="1" applyFill="1" applyBorder="1"/>
    <xf numFmtId="177" fontId="10" fillId="0" borderId="62" xfId="4" applyNumberFormat="1" applyFont="1" applyFill="1" applyBorder="1" applyAlignment="1">
      <alignment vertical="center" wrapText="1"/>
    </xf>
    <xf numFmtId="0" fontId="37" fillId="0" borderId="0" xfId="0" applyFont="1" applyAlignment="1">
      <alignment horizontal="center"/>
    </xf>
    <xf numFmtId="0" fontId="80" fillId="0" borderId="26" xfId="0" applyFont="1" applyFill="1" applyBorder="1" applyAlignment="1">
      <alignment horizontal="left" vertical="center" wrapText="1"/>
    </xf>
    <xf numFmtId="0" fontId="65" fillId="0" borderId="26" xfId="0" applyFont="1" applyFill="1" applyBorder="1" applyAlignment="1">
      <alignment horizontal="left" vertical="center" wrapText="1"/>
    </xf>
    <xf numFmtId="0" fontId="81" fillId="0" borderId="26" xfId="8" applyFont="1" applyFill="1" applyBorder="1" applyAlignment="1">
      <alignment vertical="center" wrapText="1"/>
    </xf>
    <xf numFmtId="0" fontId="48" fillId="0" borderId="6" xfId="0" applyFont="1" applyFill="1" applyBorder="1"/>
    <xf numFmtId="0" fontId="24" fillId="0" borderId="8" xfId="0" applyFont="1" applyFill="1" applyBorder="1"/>
    <xf numFmtId="0" fontId="24" fillId="0" borderId="6" xfId="0" applyFont="1" applyFill="1" applyBorder="1" applyAlignment="1"/>
    <xf numFmtId="183" fontId="10" fillId="0" borderId="3" xfId="4" applyNumberFormat="1" applyFont="1" applyFill="1" applyBorder="1" applyAlignment="1">
      <alignment horizontal="center" vertical="center"/>
    </xf>
    <xf numFmtId="0" fontId="37" fillId="0" borderId="0" xfId="0" applyFont="1" applyAlignment="1">
      <alignment horizontal="center"/>
    </xf>
    <xf numFmtId="177" fontId="28" fillId="0" borderId="5" xfId="0" applyNumberFormat="1" applyFont="1" applyFill="1" applyBorder="1"/>
    <xf numFmtId="184" fontId="12" fillId="0" borderId="0" xfId="0" applyNumberFormat="1" applyFont="1" applyBorder="1" applyAlignment="1">
      <alignment vertical="top"/>
    </xf>
    <xf numFmtId="184" fontId="5" fillId="0" borderId="0" xfId="0" applyNumberFormat="1" applyFont="1" applyBorder="1" applyAlignment="1">
      <alignment vertical="top"/>
    </xf>
    <xf numFmtId="184" fontId="5" fillId="0" borderId="0" xfId="0" applyNumberFormat="1" applyFont="1" applyFill="1" applyBorder="1" applyAlignment="1">
      <alignment vertical="top"/>
    </xf>
    <xf numFmtId="184" fontId="5" fillId="0" borderId="0" xfId="0" applyNumberFormat="1" applyFont="1" applyBorder="1"/>
    <xf numFmtId="41" fontId="31" fillId="0" borderId="5" xfId="0" applyNumberFormat="1" applyFont="1" applyFill="1" applyBorder="1"/>
    <xf numFmtId="184" fontId="12" fillId="0" borderId="28" xfId="0" applyNumberFormat="1" applyFont="1" applyBorder="1" applyAlignment="1">
      <alignment vertical="top"/>
    </xf>
    <xf numFmtId="0" fontId="28" fillId="0" borderId="8" xfId="0" applyFont="1" applyBorder="1" applyAlignment="1">
      <alignment horizontal="left"/>
    </xf>
    <xf numFmtId="0" fontId="5" fillId="0" borderId="8" xfId="0" applyFont="1" applyFill="1" applyBorder="1" applyAlignment="1"/>
    <xf numFmtId="0" fontId="31" fillId="0" borderId="8" xfId="0" applyFont="1" applyBorder="1" applyAlignment="1">
      <alignment horizontal="left" vertical="center"/>
    </xf>
    <xf numFmtId="0" fontId="31" fillId="0" borderId="0" xfId="0" applyFont="1" applyAlignment="1">
      <alignment horizontal="left" vertical="center"/>
    </xf>
    <xf numFmtId="0" fontId="31" fillId="0" borderId="8" xfId="0" applyFont="1" applyBorder="1" applyAlignment="1">
      <alignment vertical="center"/>
    </xf>
    <xf numFmtId="0" fontId="31" fillId="0" borderId="32" xfId="0" applyFont="1" applyBorder="1" applyAlignment="1">
      <alignment vertical="center"/>
    </xf>
    <xf numFmtId="0" fontId="81" fillId="0" borderId="3" xfId="0" applyFont="1" applyFill="1" applyBorder="1" applyAlignment="1">
      <alignment horizontal="left" vertical="center" wrapText="1"/>
    </xf>
    <xf numFmtId="177" fontId="5" fillId="0" borderId="63" xfId="4" applyNumberFormat="1" applyFont="1" applyFill="1" applyBorder="1" applyAlignment="1">
      <alignment horizontal="center" vertical="center"/>
    </xf>
    <xf numFmtId="49" fontId="10" fillId="0" borderId="17" xfId="4" applyNumberFormat="1" applyFont="1" applyFill="1" applyBorder="1" applyAlignment="1">
      <alignment horizontal="center" vertical="center"/>
    </xf>
    <xf numFmtId="0" fontId="28" fillId="0" borderId="5" xfId="0" applyFont="1" applyFill="1" applyBorder="1" applyAlignment="1">
      <alignment horizontal="left"/>
    </xf>
    <xf numFmtId="0" fontId="31" fillId="0" borderId="3" xfId="0" applyFont="1" applyBorder="1" applyAlignment="1">
      <alignment horizontal="center" vertical="center" wrapText="1"/>
    </xf>
    <xf numFmtId="177" fontId="28" fillId="0" borderId="17" xfId="0" applyNumberFormat="1" applyFont="1" applyFill="1" applyBorder="1"/>
    <xf numFmtId="0" fontId="31" fillId="0" borderId="14" xfId="0" applyFont="1" applyBorder="1" applyAlignment="1">
      <alignment vertical="center" wrapText="1"/>
    </xf>
    <xf numFmtId="0" fontId="24" fillId="0" borderId="0" xfId="0" applyFont="1" applyFill="1" applyBorder="1" applyAlignment="1"/>
    <xf numFmtId="0" fontId="5" fillId="0" borderId="3" xfId="0" applyFont="1" applyFill="1" applyBorder="1" applyAlignment="1">
      <alignment horizontal="left" vertical="center" wrapText="1"/>
    </xf>
    <xf numFmtId="177" fontId="8" fillId="0" borderId="3" xfId="4" applyNumberFormat="1" applyFont="1" applyFill="1" applyBorder="1" applyAlignment="1">
      <alignment horizontal="center" vertical="center"/>
    </xf>
    <xf numFmtId="177" fontId="8" fillId="0" borderId="39" xfId="4" applyNumberFormat="1" applyFont="1" applyFill="1" applyBorder="1" applyAlignment="1">
      <alignment vertical="center" wrapText="1"/>
    </xf>
    <xf numFmtId="0" fontId="37" fillId="0" borderId="0" xfId="0" applyFont="1" applyAlignment="1">
      <alignment horizontal="center"/>
    </xf>
    <xf numFmtId="0" fontId="28" fillId="0" borderId="0" xfId="0" applyFont="1" applyFill="1" applyBorder="1" applyAlignment="1">
      <alignment horizontal="left"/>
    </xf>
    <xf numFmtId="0" fontId="31" fillId="0" borderId="6" xfId="0" applyFont="1" applyFill="1" applyBorder="1" applyAlignment="1">
      <alignment horizontal="left"/>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6" xfId="0" applyFont="1" applyFill="1" applyBorder="1" applyAlignment="1">
      <alignment horizontal="left"/>
    </xf>
    <xf numFmtId="0" fontId="46" fillId="0" borderId="38" xfId="0" applyFont="1" applyBorder="1" applyAlignment="1">
      <alignment horizontal="center" vertical="top"/>
    </xf>
    <xf numFmtId="0" fontId="32" fillId="0" borderId="0" xfId="0" applyFont="1" applyAlignment="1">
      <alignment horizontal="center" vertical="top"/>
    </xf>
    <xf numFmtId="0" fontId="46" fillId="0" borderId="24" xfId="0" applyFont="1" applyBorder="1" applyAlignment="1">
      <alignment horizontal="center" vertical="center"/>
    </xf>
    <xf numFmtId="0" fontId="28" fillId="0" borderId="45" xfId="0" applyFont="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center" vertical="center"/>
    </xf>
    <xf numFmtId="0" fontId="46" fillId="0" borderId="5" xfId="0" applyFont="1" applyFill="1" applyBorder="1" applyAlignment="1">
      <alignment horizontal="center" vertical="center"/>
    </xf>
    <xf numFmtId="0" fontId="32" fillId="0" borderId="0" xfId="0" applyFont="1" applyAlignment="1">
      <alignment horizontal="center" vertical="center"/>
    </xf>
    <xf numFmtId="0" fontId="38" fillId="0" borderId="8" xfId="0" applyFont="1" applyFill="1" applyBorder="1" applyAlignment="1">
      <alignment vertical="center"/>
    </xf>
    <xf numFmtId="177" fontId="28" fillId="0" borderId="7" xfId="4" applyNumberFormat="1" applyFont="1" applyFill="1" applyBorder="1" applyAlignment="1">
      <alignment vertical="center"/>
    </xf>
    <xf numFmtId="0" fontId="24" fillId="0" borderId="0" xfId="0" applyFont="1" applyAlignment="1">
      <alignment vertical="center"/>
    </xf>
    <xf numFmtId="0" fontId="31" fillId="0" borderId="8" xfId="0" applyFont="1" applyFill="1" applyBorder="1" applyAlignment="1">
      <alignment vertical="center"/>
    </xf>
    <xf numFmtId="177" fontId="31" fillId="0" borderId="7" xfId="4" applyNumberFormat="1" applyFont="1" applyFill="1" applyBorder="1" applyAlignment="1">
      <alignment vertical="center"/>
    </xf>
    <xf numFmtId="177" fontId="31" fillId="4" borderId="5" xfId="4" applyNumberFormat="1" applyFont="1" applyFill="1" applyBorder="1" applyAlignment="1">
      <alignment vertical="center"/>
    </xf>
    <xf numFmtId="177" fontId="23" fillId="0" borderId="6" xfId="4" applyNumberFormat="1" applyFont="1" applyFill="1" applyBorder="1" applyAlignment="1">
      <alignment vertical="center"/>
    </xf>
    <xf numFmtId="49" fontId="40" fillId="0" borderId="6" xfId="4" applyNumberFormat="1" applyFont="1" applyFill="1" applyBorder="1" applyAlignment="1">
      <alignment horizontal="center" vertical="center"/>
    </xf>
    <xf numFmtId="0" fontId="31" fillId="0" borderId="7" xfId="0" applyFont="1" applyFill="1" applyBorder="1" applyAlignment="1">
      <alignment vertical="center"/>
    </xf>
    <xf numFmtId="0" fontId="31" fillId="0" borderId="5" xfId="0" applyFont="1" applyFill="1" applyBorder="1" applyAlignment="1">
      <alignment vertical="center"/>
    </xf>
    <xf numFmtId="0" fontId="33" fillId="0" borderId="8" xfId="0" applyFont="1" applyFill="1" applyBorder="1" applyAlignment="1">
      <alignment vertical="center"/>
    </xf>
    <xf numFmtId="0" fontId="31" fillId="0" borderId="5" xfId="0" applyFont="1" applyFill="1" applyBorder="1" applyAlignment="1">
      <alignment horizontal="left" vertical="center"/>
    </xf>
    <xf numFmtId="0" fontId="33" fillId="0" borderId="7" xfId="0" applyFont="1" applyBorder="1" applyAlignment="1">
      <alignment vertical="center"/>
    </xf>
    <xf numFmtId="0" fontId="33" fillId="0" borderId="5" xfId="0" applyFont="1" applyBorder="1" applyAlignment="1">
      <alignment vertical="center"/>
    </xf>
    <xf numFmtId="0" fontId="28" fillId="0" borderId="5" xfId="0" applyFont="1" applyFill="1" applyBorder="1" applyAlignment="1">
      <alignment horizontal="left" vertical="center"/>
    </xf>
    <xf numFmtId="177" fontId="28" fillId="4" borderId="5" xfId="4" applyNumberFormat="1" applyFont="1" applyFill="1" applyBorder="1" applyAlignment="1">
      <alignment vertical="center"/>
    </xf>
    <xf numFmtId="0" fontId="30" fillId="0" borderId="0" xfId="0" applyFont="1" applyAlignment="1">
      <alignment vertical="center"/>
    </xf>
    <xf numFmtId="0" fontId="33" fillId="0" borderId="8" xfId="0" applyFont="1" applyFill="1" applyBorder="1" applyAlignment="1">
      <alignment horizontal="left" vertical="center"/>
    </xf>
    <xf numFmtId="0" fontId="28" fillId="0" borderId="7" xfId="0" applyFont="1" applyFill="1" applyBorder="1" applyAlignment="1">
      <alignment horizontal="left" vertical="center"/>
    </xf>
    <xf numFmtId="0" fontId="28" fillId="0" borderId="7" xfId="0" applyFont="1" applyFill="1" applyBorder="1" applyAlignment="1">
      <alignment vertical="center"/>
    </xf>
    <xf numFmtId="0" fontId="28" fillId="0" borderId="5" xfId="0" applyFont="1" applyFill="1" applyBorder="1" applyAlignment="1">
      <alignment vertical="center"/>
    </xf>
    <xf numFmtId="41" fontId="31" fillId="4" borderId="5" xfId="4" applyNumberFormat="1" applyFont="1" applyFill="1" applyBorder="1" applyAlignment="1">
      <alignment vertical="center"/>
    </xf>
    <xf numFmtId="41" fontId="23" fillId="0" borderId="6" xfId="4" applyNumberFormat="1" applyFont="1" applyFill="1" applyBorder="1" applyAlignment="1">
      <alignment vertical="center"/>
    </xf>
    <xf numFmtId="177" fontId="9" fillId="0" borderId="6" xfId="4" applyNumberFormat="1" applyFont="1" applyFill="1" applyBorder="1" applyAlignment="1">
      <alignment vertical="center"/>
    </xf>
    <xf numFmtId="0" fontId="31" fillId="0" borderId="17" xfId="0" applyFont="1" applyFill="1" applyBorder="1" applyAlignment="1">
      <alignment vertical="center"/>
    </xf>
    <xf numFmtId="177" fontId="9" fillId="0" borderId="35" xfId="4" applyNumberFormat="1" applyFont="1" applyFill="1" applyBorder="1" applyAlignment="1">
      <alignment vertical="center"/>
    </xf>
    <xf numFmtId="49" fontId="40" fillId="0" borderId="35" xfId="4" applyNumberFormat="1" applyFont="1" applyFill="1" applyBorder="1" applyAlignment="1">
      <alignment horizontal="center" vertical="center"/>
    </xf>
    <xf numFmtId="177" fontId="31" fillId="4" borderId="5" xfId="4" applyNumberFormat="1" applyFont="1" applyFill="1" applyBorder="1"/>
    <xf numFmtId="177" fontId="28" fillId="4" borderId="21" xfId="4" applyNumberFormat="1" applyFont="1" applyFill="1" applyBorder="1"/>
    <xf numFmtId="177" fontId="31" fillId="4" borderId="21" xfId="4" applyNumberFormat="1" applyFont="1" applyFill="1" applyBorder="1" applyAlignment="1">
      <alignment vertical="center"/>
    </xf>
    <xf numFmtId="41" fontId="31" fillId="4" borderId="21" xfId="4" applyNumberFormat="1" applyFont="1" applyFill="1" applyBorder="1" applyAlignment="1">
      <alignment vertical="center"/>
    </xf>
    <xf numFmtId="41" fontId="31" fillId="4" borderId="21" xfId="0" applyNumberFormat="1" applyFont="1" applyFill="1" applyBorder="1" applyAlignment="1">
      <alignment vertical="center"/>
    </xf>
    <xf numFmtId="177" fontId="28" fillId="4" borderId="37" xfId="4" applyNumberFormat="1" applyFont="1" applyFill="1" applyBorder="1" applyAlignment="1">
      <alignment vertical="center"/>
    </xf>
    <xf numFmtId="177" fontId="28" fillId="4" borderId="21" xfId="4" applyNumberFormat="1" applyFont="1" applyFill="1" applyBorder="1" applyAlignment="1">
      <alignment vertical="center"/>
    </xf>
    <xf numFmtId="177" fontId="28" fillId="4" borderId="22" xfId="4" applyNumberFormat="1" applyFont="1" applyFill="1" applyBorder="1" applyAlignment="1">
      <alignment vertical="center"/>
    </xf>
    <xf numFmtId="41" fontId="31" fillId="4" borderId="5" xfId="0" applyNumberFormat="1" applyFont="1" applyFill="1" applyBorder="1" applyAlignment="1">
      <alignment vertical="center"/>
    </xf>
    <xf numFmtId="177" fontId="31" fillId="5" borderId="21" xfId="4" applyNumberFormat="1" applyFont="1" applyFill="1" applyBorder="1" applyAlignment="1">
      <alignment vertical="center"/>
    </xf>
    <xf numFmtId="41" fontId="31" fillId="5" borderId="21" xfId="0" applyNumberFormat="1" applyFont="1" applyFill="1" applyBorder="1" applyAlignment="1">
      <alignment vertical="center"/>
    </xf>
    <xf numFmtId="41" fontId="31" fillId="5" borderId="5" xfId="0" applyNumberFormat="1" applyFont="1" applyFill="1" applyBorder="1" applyAlignment="1">
      <alignment vertical="center"/>
    </xf>
    <xf numFmtId="41" fontId="31" fillId="4" borderId="0" xfId="0" applyNumberFormat="1" applyFont="1" applyFill="1"/>
    <xf numFmtId="0" fontId="31" fillId="4" borderId="0" xfId="0" applyFont="1" applyFill="1"/>
    <xf numFmtId="0" fontId="82" fillId="2" borderId="7" xfId="0" applyFont="1" applyFill="1" applyBorder="1" applyAlignment="1">
      <alignment vertical="center" wrapText="1"/>
    </xf>
    <xf numFmtId="177" fontId="31" fillId="0" borderId="43" xfId="4" applyNumberFormat="1" applyFont="1" applyFill="1" applyBorder="1"/>
    <xf numFmtId="0" fontId="65" fillId="0" borderId="43" xfId="0" applyFont="1" applyFill="1" applyBorder="1"/>
    <xf numFmtId="177" fontId="28" fillId="0" borderId="43" xfId="0" applyNumberFormat="1" applyFont="1" applyFill="1" applyBorder="1"/>
    <xf numFmtId="177" fontId="31" fillId="0" borderId="46" xfId="4" applyNumberFormat="1" applyFont="1" applyFill="1" applyBorder="1"/>
    <xf numFmtId="0" fontId="65" fillId="0" borderId="17" xfId="0" applyFont="1" applyFill="1" applyBorder="1" applyAlignment="1">
      <alignment wrapText="1"/>
    </xf>
    <xf numFmtId="0" fontId="31" fillId="0" borderId="17" xfId="0" applyFont="1" applyFill="1" applyBorder="1"/>
    <xf numFmtId="41" fontId="82" fillId="4" borderId="5" xfId="4" applyNumberFormat="1" applyFont="1" applyFill="1" applyBorder="1" applyAlignment="1">
      <alignment vertical="center"/>
    </xf>
    <xf numFmtId="41" fontId="82" fillId="4" borderId="5" xfId="0" applyNumberFormat="1" applyFont="1" applyFill="1" applyBorder="1" applyAlignment="1">
      <alignment vertical="center"/>
    </xf>
    <xf numFmtId="41" fontId="82" fillId="0" borderId="5" xfId="4" applyNumberFormat="1" applyFont="1" applyFill="1" applyBorder="1" applyAlignment="1">
      <alignment vertical="center"/>
    </xf>
    <xf numFmtId="0" fontId="31" fillId="0" borderId="31" xfId="0" applyFont="1" applyBorder="1" applyAlignment="1">
      <alignment horizontal="center" vertical="center"/>
    </xf>
    <xf numFmtId="177" fontId="31" fillId="4" borderId="7" xfId="4" applyNumberFormat="1" applyFont="1" applyFill="1" applyBorder="1"/>
    <xf numFmtId="0" fontId="24" fillId="0" borderId="39" xfId="0" applyFont="1" applyBorder="1" applyAlignment="1">
      <alignment horizontal="center" vertical="center" wrapText="1"/>
    </xf>
    <xf numFmtId="177" fontId="9" fillId="0" borderId="7" xfId="4" applyNumberFormat="1" applyFont="1" applyFill="1" applyBorder="1"/>
    <xf numFmtId="43" fontId="9" fillId="0" borderId="5" xfId="0" applyNumberFormat="1" applyFont="1" applyFill="1" applyBorder="1"/>
    <xf numFmtId="177" fontId="27" fillId="0" borderId="16" xfId="4" applyNumberFormat="1" applyFont="1" applyFill="1" applyBorder="1"/>
    <xf numFmtId="0" fontId="27" fillId="0" borderId="0" xfId="0" applyFont="1"/>
    <xf numFmtId="0" fontId="5" fillId="0" borderId="19" xfId="0" applyFont="1" applyBorder="1" applyAlignment="1">
      <alignment horizontal="left" vertical="center"/>
    </xf>
    <xf numFmtId="0" fontId="5" fillId="0" borderId="0" xfId="0" applyFont="1" applyBorder="1" applyAlignment="1">
      <alignment horizontal="left" vertical="center"/>
    </xf>
    <xf numFmtId="0" fontId="1" fillId="0" borderId="0" xfId="0" applyFont="1"/>
    <xf numFmtId="0" fontId="1" fillId="0" borderId="0" xfId="0" applyFont="1" applyBorder="1"/>
    <xf numFmtId="49" fontId="72" fillId="4" borderId="11" xfId="0" applyNumberFormat="1" applyFont="1" applyFill="1" applyBorder="1" applyAlignment="1">
      <alignment horizontal="left" vertical="center"/>
    </xf>
    <xf numFmtId="49" fontId="72" fillId="4" borderId="11" xfId="0" applyNumberFormat="1" applyFont="1" applyFill="1" applyBorder="1" applyAlignment="1">
      <alignment horizontal="left"/>
    </xf>
    <xf numFmtId="0" fontId="72" fillId="4" borderId="11" xfId="0" applyFont="1" applyFill="1" applyBorder="1" applyAlignment="1">
      <alignment horizontal="left"/>
    </xf>
    <xf numFmtId="0" fontId="33" fillId="0" borderId="23" xfId="0" applyFont="1" applyFill="1" applyBorder="1" applyAlignment="1">
      <alignment horizontal="left" vertical="center"/>
    </xf>
    <xf numFmtId="0" fontId="33" fillId="0" borderId="27" xfId="0" applyFont="1" applyFill="1" applyBorder="1" applyAlignment="1">
      <alignment horizontal="left" vertical="center"/>
    </xf>
    <xf numFmtId="0" fontId="30" fillId="0" borderId="0" xfId="0" applyFont="1" applyBorder="1" applyAlignment="1">
      <alignment vertical="center"/>
    </xf>
    <xf numFmtId="0" fontId="28" fillId="0" borderId="43" xfId="0" applyFont="1" applyFill="1" applyBorder="1" applyAlignment="1">
      <alignment vertical="top" wrapText="1"/>
    </xf>
    <xf numFmtId="177" fontId="31" fillId="0" borderId="43" xfId="4" applyNumberFormat="1" applyFont="1" applyFill="1" applyBorder="1" applyAlignment="1">
      <alignment vertical="top"/>
    </xf>
    <xf numFmtId="177" fontId="31" fillId="0" borderId="46" xfId="4" applyNumberFormat="1" applyFont="1" applyFill="1" applyBorder="1" applyAlignment="1">
      <alignment vertical="top"/>
    </xf>
    <xf numFmtId="0" fontId="28" fillId="0" borderId="17" xfId="0" applyFont="1" applyBorder="1" applyAlignment="1">
      <alignment horizontal="center" vertical="center"/>
    </xf>
    <xf numFmtId="177" fontId="28" fillId="0" borderId="17" xfId="0" applyNumberFormat="1" applyFont="1" applyFill="1" applyBorder="1" applyAlignment="1">
      <alignment vertical="center"/>
    </xf>
    <xf numFmtId="177" fontId="28" fillId="0" borderId="17" xfId="0" applyNumberFormat="1" applyFont="1" applyBorder="1" applyAlignment="1">
      <alignment vertical="center"/>
    </xf>
    <xf numFmtId="177" fontId="28" fillId="0" borderId="18" xfId="0" applyNumberFormat="1" applyFont="1" applyBorder="1" applyAlignment="1">
      <alignment vertical="center"/>
    </xf>
    <xf numFmtId="0" fontId="5" fillId="0" borderId="47" xfId="0" applyFont="1" applyFill="1" applyBorder="1" applyAlignment="1">
      <alignment vertical="center"/>
    </xf>
    <xf numFmtId="0" fontId="5" fillId="0" borderId="3" xfId="0" applyFont="1" applyFill="1" applyBorder="1" applyAlignment="1">
      <alignment horizontal="center" vertical="center" shrinkToFit="1"/>
    </xf>
    <xf numFmtId="0" fontId="5" fillId="0" borderId="24" xfId="0" applyFont="1" applyFill="1" applyBorder="1" applyAlignment="1">
      <alignment vertical="center"/>
    </xf>
    <xf numFmtId="177" fontId="5" fillId="0" borderId="5" xfId="4" applyNumberFormat="1" applyFont="1" applyFill="1" applyBorder="1" applyAlignment="1">
      <alignment vertical="center"/>
    </xf>
    <xf numFmtId="0" fontId="5" fillId="0" borderId="4" xfId="0" applyFont="1" applyFill="1" applyBorder="1" applyAlignment="1">
      <alignment vertical="center"/>
    </xf>
    <xf numFmtId="177" fontId="5" fillId="0" borderId="4" xfId="4" applyNumberFormat="1" applyFont="1" applyFill="1" applyBorder="1" applyAlignment="1">
      <alignment vertical="center"/>
    </xf>
    <xf numFmtId="0" fontId="8" fillId="0" borderId="0" xfId="0" applyFont="1" applyFill="1"/>
    <xf numFmtId="0" fontId="15" fillId="0" borderId="0" xfId="0" applyFont="1" applyFill="1"/>
    <xf numFmtId="177" fontId="5" fillId="0" borderId="0" xfId="4" applyNumberFormat="1" applyFont="1" applyFill="1" applyBorder="1" applyAlignment="1">
      <alignment vertical="center"/>
    </xf>
    <xf numFmtId="0" fontId="5" fillId="0" borderId="15" xfId="0" applyFont="1" applyFill="1" applyBorder="1" applyAlignment="1">
      <alignment vertical="center"/>
    </xf>
    <xf numFmtId="0" fontId="5" fillId="0" borderId="24" xfId="0" applyFont="1" applyFill="1" applyBorder="1" applyAlignment="1">
      <alignment horizontal="center" vertical="center" shrinkToFit="1"/>
    </xf>
    <xf numFmtId="0" fontId="12" fillId="0" borderId="24" xfId="0" applyFont="1" applyFill="1" applyBorder="1" applyAlignment="1"/>
    <xf numFmtId="0" fontId="5" fillId="0" borderId="24" xfId="0" applyFont="1" applyFill="1" applyBorder="1" applyAlignment="1"/>
    <xf numFmtId="0" fontId="5" fillId="0" borderId="4" xfId="0" applyFont="1" applyFill="1" applyBorder="1" applyAlignment="1"/>
    <xf numFmtId="0" fontId="5" fillId="0" borderId="3" xfId="0" applyFont="1" applyFill="1" applyBorder="1" applyAlignment="1">
      <alignment horizontal="center"/>
    </xf>
    <xf numFmtId="177" fontId="5" fillId="0" borderId="3" xfId="0" applyNumberFormat="1" applyFont="1" applyFill="1" applyBorder="1" applyAlignment="1"/>
    <xf numFmtId="0" fontId="31" fillId="0" borderId="14" xfId="0" applyFont="1" applyFill="1" applyBorder="1"/>
    <xf numFmtId="49" fontId="31" fillId="0" borderId="14" xfId="0" applyNumberFormat="1" applyFont="1" applyFill="1" applyBorder="1" applyAlignment="1">
      <alignment vertical="top" wrapText="1"/>
    </xf>
    <xf numFmtId="49" fontId="31" fillId="0" borderId="14" xfId="0" applyNumberFormat="1" applyFont="1" applyFill="1" applyBorder="1" applyAlignment="1">
      <alignment horizontal="left" vertical="top" wrapText="1"/>
    </xf>
    <xf numFmtId="0" fontId="31" fillId="0" borderId="14" xfId="0" applyFont="1" applyFill="1" applyBorder="1" applyAlignment="1">
      <alignment horizontal="left"/>
    </xf>
    <xf numFmtId="178" fontId="11" fillId="0" borderId="36" xfId="0" applyNumberFormat="1" applyFont="1" applyFill="1" applyBorder="1" applyAlignment="1">
      <alignment horizontal="center" vertical="center" shrinkToFit="1"/>
    </xf>
    <xf numFmtId="0" fontId="12" fillId="0" borderId="5" xfId="0" applyFont="1" applyFill="1" applyBorder="1" applyAlignment="1">
      <alignment horizontal="center" vertical="center"/>
    </xf>
    <xf numFmtId="177" fontId="86" fillId="0" borderId="6" xfId="0" applyNumberFormat="1" applyFont="1" applyFill="1" applyBorder="1" applyAlignment="1">
      <alignment horizontal="center" vertical="center" shrinkToFit="1"/>
    </xf>
    <xf numFmtId="177" fontId="9" fillId="0" borderId="6" xfId="0" applyNumberFormat="1" applyFont="1" applyFill="1" applyBorder="1" applyAlignment="1">
      <alignment horizontal="center" vertical="center" shrinkToFit="1"/>
    </xf>
    <xf numFmtId="177" fontId="12" fillId="0" borderId="5" xfId="4" applyNumberFormat="1" applyFont="1" applyFill="1" applyBorder="1" applyAlignment="1">
      <alignment vertical="center"/>
    </xf>
    <xf numFmtId="177" fontId="9" fillId="0" borderId="6" xfId="4" applyNumberFormat="1" applyFont="1" applyFill="1" applyBorder="1" applyAlignment="1">
      <alignment vertical="center" shrinkToFit="1"/>
    </xf>
    <xf numFmtId="49" fontId="86" fillId="0" borderId="6" xfId="4" applyNumberFormat="1" applyFont="1" applyFill="1" applyBorder="1" applyAlignment="1">
      <alignment horizontal="center" vertical="center" shrinkToFit="1"/>
    </xf>
    <xf numFmtId="49" fontId="86" fillId="0" borderId="6" xfId="4" applyNumberFormat="1" applyFont="1" applyFill="1" applyBorder="1" applyAlignment="1">
      <alignment horizontal="center" vertical="center"/>
    </xf>
    <xf numFmtId="0" fontId="5" fillId="0" borderId="5" xfId="0" applyFont="1" applyFill="1" applyBorder="1" applyAlignment="1">
      <alignment horizontal="left" vertical="center"/>
    </xf>
    <xf numFmtId="0" fontId="3" fillId="0" borderId="5" xfId="0" applyFont="1" applyFill="1" applyBorder="1" applyAlignment="1">
      <alignment vertical="center"/>
    </xf>
    <xf numFmtId="0" fontId="12" fillId="0" borderId="5" xfId="0" applyFont="1" applyFill="1" applyBorder="1" applyAlignment="1">
      <alignment horizontal="left" vertical="center"/>
    </xf>
    <xf numFmtId="177" fontId="5" fillId="0" borderId="18" xfId="4" applyNumberFormat="1" applyFont="1" applyFill="1" applyBorder="1" applyAlignment="1">
      <alignment vertical="center"/>
    </xf>
    <xf numFmtId="177" fontId="28" fillId="0" borderId="37" xfId="0" applyNumberFormat="1" applyFont="1" applyFill="1" applyBorder="1" applyAlignment="1">
      <alignment horizontal="center"/>
    </xf>
    <xf numFmtId="177" fontId="28" fillId="0" borderId="24" xfId="0" applyNumberFormat="1" applyFont="1" applyFill="1" applyBorder="1" applyAlignment="1">
      <alignment horizontal="center"/>
    </xf>
    <xf numFmtId="177" fontId="28" fillId="0" borderId="18" xfId="0" applyNumberFormat="1" applyFont="1" applyFill="1" applyBorder="1"/>
    <xf numFmtId="177" fontId="28" fillId="0" borderId="22" xfId="0" applyNumberFormat="1" applyFont="1" applyFill="1" applyBorder="1" applyAlignment="1"/>
    <xf numFmtId="177" fontId="28" fillId="0" borderId="17" xfId="0" applyNumberFormat="1" applyFont="1" applyFill="1" applyBorder="1" applyAlignment="1"/>
    <xf numFmtId="177" fontId="28" fillId="0" borderId="18" xfId="0" applyNumberFormat="1" applyFont="1" applyFill="1" applyBorder="1" applyAlignment="1"/>
    <xf numFmtId="177" fontId="12" fillId="0" borderId="21" xfId="4" applyNumberFormat="1" applyFont="1" applyFill="1" applyBorder="1" applyAlignment="1"/>
    <xf numFmtId="177" fontId="12" fillId="0" borderId="5" xfId="4" applyNumberFormat="1" applyFont="1" applyFill="1" applyBorder="1" applyAlignment="1"/>
    <xf numFmtId="177" fontId="5" fillId="0" borderId="21" xfId="4" applyNumberFormat="1" applyFont="1" applyFill="1" applyBorder="1" applyAlignment="1"/>
    <xf numFmtId="177" fontId="31" fillId="0" borderId="21" xfId="0" applyNumberFormat="1" applyFont="1" applyFill="1" applyBorder="1" applyAlignment="1">
      <alignment horizontal="left"/>
    </xf>
    <xf numFmtId="177" fontId="31" fillId="0" borderId="5" xfId="0" applyNumberFormat="1" applyFont="1" applyFill="1" applyBorder="1" applyAlignment="1">
      <alignment horizontal="left"/>
    </xf>
    <xf numFmtId="177" fontId="28" fillId="0" borderId="21" xfId="0" applyNumberFormat="1" applyFont="1" applyFill="1" applyBorder="1" applyAlignment="1"/>
    <xf numFmtId="177" fontId="28" fillId="0" borderId="5" xfId="0" applyNumberFormat="1" applyFont="1" applyFill="1" applyBorder="1" applyAlignment="1"/>
    <xf numFmtId="177" fontId="28" fillId="0" borderId="11" xfId="4" applyNumberFormat="1" applyFont="1" applyFill="1" applyBorder="1" applyAlignment="1"/>
    <xf numFmtId="177" fontId="5" fillId="0" borderId="11" xfId="4" applyNumberFormat="1" applyFont="1" applyFill="1" applyBorder="1" applyAlignment="1"/>
    <xf numFmtId="177" fontId="31" fillId="0" borderId="14" xfId="0" applyNumberFormat="1" applyFont="1" applyFill="1" applyBorder="1" applyAlignment="1">
      <alignment horizontal="left"/>
    </xf>
    <xf numFmtId="177" fontId="31" fillId="0" borderId="14" xfId="0" applyNumberFormat="1" applyFont="1" applyFill="1" applyBorder="1" applyAlignment="1"/>
    <xf numFmtId="177" fontId="12" fillId="0" borderId="5" xfId="4" applyNumberFormat="1" applyFont="1" applyFill="1" applyBorder="1" applyAlignment="1">
      <alignment horizontal="center" vertical="top" wrapText="1"/>
    </xf>
    <xf numFmtId="177" fontId="5" fillId="0" borderId="5" xfId="4" applyNumberFormat="1" applyFont="1" applyFill="1" applyBorder="1" applyAlignment="1">
      <alignment horizontal="center" wrapText="1"/>
    </xf>
    <xf numFmtId="0" fontId="5" fillId="0" borderId="5" xfId="0" applyFont="1" applyFill="1" applyBorder="1" applyAlignment="1">
      <alignment horizontal="justify" wrapText="1"/>
    </xf>
    <xf numFmtId="177" fontId="5" fillId="0" borderId="5" xfId="0" applyNumberFormat="1" applyFont="1" applyFill="1" applyBorder="1" applyAlignment="1">
      <alignment horizontal="center" wrapText="1"/>
    </xf>
    <xf numFmtId="41" fontId="31" fillId="0" borderId="0" xfId="0" applyNumberFormat="1" applyFont="1" applyFill="1"/>
    <xf numFmtId="177" fontId="28" fillId="0" borderId="22" xfId="0" applyNumberFormat="1" applyFont="1" applyFill="1" applyBorder="1" applyAlignment="1">
      <alignment vertical="center"/>
    </xf>
    <xf numFmtId="177" fontId="28" fillId="0" borderId="37" xfId="4" applyNumberFormat="1" applyFont="1" applyFill="1" applyBorder="1"/>
    <xf numFmtId="177" fontId="28" fillId="0" borderId="24" xfId="4" applyNumberFormat="1" applyFont="1" applyFill="1" applyBorder="1"/>
    <xf numFmtId="177" fontId="28" fillId="0" borderId="42" xfId="4" applyNumberFormat="1" applyFont="1" applyFill="1" applyBorder="1" applyAlignment="1">
      <alignment vertical="top"/>
    </xf>
    <xf numFmtId="177" fontId="28" fillId="0" borderId="43" xfId="4" applyNumberFormat="1" applyFont="1" applyFill="1" applyBorder="1" applyAlignment="1">
      <alignment vertical="top"/>
    </xf>
    <xf numFmtId="177" fontId="28" fillId="0" borderId="24" xfId="0" applyNumberFormat="1" applyFont="1" applyFill="1" applyBorder="1"/>
    <xf numFmtId="177" fontId="31" fillId="0" borderId="5" xfId="0" applyNumberFormat="1" applyFont="1" applyFill="1" applyBorder="1"/>
    <xf numFmtId="177" fontId="28" fillId="0" borderId="43" xfId="0" applyNumberFormat="1" applyFont="1" applyFill="1" applyBorder="1" applyAlignment="1">
      <alignment vertical="top"/>
    </xf>
    <xf numFmtId="41" fontId="31" fillId="0" borderId="14" xfId="4" applyNumberFormat="1" applyFont="1" applyFill="1" applyBorder="1"/>
    <xf numFmtId="177" fontId="31" fillId="6" borderId="5" xfId="0" applyNumberFormat="1" applyFont="1" applyFill="1" applyBorder="1"/>
    <xf numFmtId="0" fontId="28" fillId="0" borderId="5" xfId="0" applyFont="1" applyFill="1" applyBorder="1" applyAlignment="1">
      <alignment horizontal="left"/>
    </xf>
    <xf numFmtId="177" fontId="75" fillId="0" borderId="0" xfId="0" applyNumberFormat="1" applyFont="1" applyFill="1"/>
    <xf numFmtId="177" fontId="57" fillId="0" borderId="0" xfId="0" applyNumberFormat="1" applyFont="1" applyFill="1"/>
    <xf numFmtId="177" fontId="31" fillId="4" borderId="21" xfId="4" applyNumberFormat="1" applyFont="1" applyFill="1" applyBorder="1"/>
    <xf numFmtId="0" fontId="36" fillId="0" borderId="0" xfId="0" applyFont="1" applyFill="1"/>
    <xf numFmtId="0" fontId="31" fillId="0" borderId="3"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29" fillId="0" borderId="0" xfId="0" applyFont="1" applyFill="1"/>
    <xf numFmtId="177" fontId="5" fillId="0" borderId="5" xfId="0" applyNumberFormat="1" applyFont="1" applyFill="1" applyBorder="1" applyAlignment="1"/>
    <xf numFmtId="0" fontId="28" fillId="0" borderId="17" xfId="0" applyFont="1" applyFill="1" applyBorder="1" applyAlignment="1">
      <alignment horizontal="center"/>
    </xf>
    <xf numFmtId="0" fontId="40" fillId="0" borderId="0" xfId="0" applyFont="1" applyFill="1" applyBorder="1"/>
    <xf numFmtId="177" fontId="28" fillId="4" borderId="5" xfId="4" applyNumberFormat="1" applyFont="1" applyFill="1" applyBorder="1"/>
    <xf numFmtId="177" fontId="31" fillId="4" borderId="17" xfId="4" applyNumberFormat="1" applyFont="1" applyFill="1" applyBorder="1"/>
    <xf numFmtId="177" fontId="31" fillId="4" borderId="43" xfId="4" applyNumberFormat="1" applyFont="1" applyFill="1" applyBorder="1"/>
    <xf numFmtId="177" fontId="28" fillId="4" borderId="17" xfId="0" applyNumberFormat="1" applyFont="1" applyFill="1" applyBorder="1"/>
    <xf numFmtId="177" fontId="31" fillId="4" borderId="22" xfId="4" applyNumberFormat="1" applyFont="1" applyFill="1" applyBorder="1"/>
    <xf numFmtId="177" fontId="31" fillId="4" borderId="42" xfId="4" applyNumberFormat="1" applyFont="1" applyFill="1" applyBorder="1"/>
    <xf numFmtId="177" fontId="28" fillId="4" borderId="22" xfId="0" applyNumberFormat="1" applyFont="1" applyFill="1" applyBorder="1"/>
    <xf numFmtId="177" fontId="56" fillId="4" borderId="16" xfId="4" applyNumberFormat="1" applyFont="1" applyFill="1" applyBorder="1"/>
    <xf numFmtId="177" fontId="29" fillId="0" borderId="0" xfId="0" applyNumberFormat="1" applyFont="1" applyFill="1"/>
    <xf numFmtId="177" fontId="29" fillId="7" borderId="0" xfId="0" applyNumberFormat="1" applyFont="1" applyFill="1"/>
    <xf numFmtId="43" fontId="9" fillId="0" borderId="5" xfId="4" applyNumberFormat="1" applyFont="1" applyFill="1" applyBorder="1"/>
    <xf numFmtId="41" fontId="11" fillId="0" borderId="21" xfId="0" applyNumberFormat="1" applyFont="1" applyFill="1" applyBorder="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177" fontId="31" fillId="4" borderId="20" xfId="4" applyNumberFormat="1" applyFont="1" applyFill="1" applyBorder="1"/>
    <xf numFmtId="0" fontId="87" fillId="0" borderId="5" xfId="0" applyFont="1" applyFill="1" applyBorder="1"/>
    <xf numFmtId="41" fontId="87" fillId="0" borderId="5" xfId="4" applyNumberFormat="1" applyFont="1" applyFill="1" applyBorder="1" applyAlignment="1">
      <alignment vertical="center"/>
    </xf>
    <xf numFmtId="177" fontId="87" fillId="0" borderId="5" xfId="4" applyNumberFormat="1" applyFont="1" applyFill="1" applyBorder="1" applyAlignment="1">
      <alignment vertical="center"/>
    </xf>
    <xf numFmtId="41" fontId="31" fillId="4" borderId="6" xfId="4" applyNumberFormat="1" applyFont="1" applyFill="1" applyBorder="1"/>
    <xf numFmtId="41" fontId="5" fillId="4" borderId="6" xfId="4" applyNumberFormat="1" applyFont="1" applyFill="1" applyBorder="1"/>
    <xf numFmtId="178" fontId="5" fillId="0" borderId="5" xfId="0" applyNumberFormat="1" applyFont="1" applyFill="1" applyBorder="1" applyAlignment="1">
      <alignment horizontal="center"/>
    </xf>
    <xf numFmtId="177" fontId="5" fillId="0" borderId="5" xfId="0" applyNumberFormat="1" applyFont="1" applyFill="1" applyBorder="1" applyAlignment="1">
      <alignment horizontal="center"/>
    </xf>
    <xf numFmtId="0" fontId="5" fillId="0" borderId="5" xfId="0" applyFont="1" applyFill="1" applyBorder="1" applyAlignment="1">
      <alignment horizontal="left" indent="2"/>
    </xf>
    <xf numFmtId="0" fontId="5" fillId="0" borderId="6" xfId="0" applyFont="1" applyFill="1" applyBorder="1" applyAlignment="1">
      <alignment horizontal="left" indent="2"/>
    </xf>
    <xf numFmtId="0" fontId="5" fillId="0" borderId="5" xfId="0" applyFont="1" applyFill="1" applyBorder="1" applyAlignment="1">
      <alignment horizontal="left" indent="1"/>
    </xf>
    <xf numFmtId="41" fontId="11" fillId="0" borderId="14" xfId="0" applyNumberFormat="1" applyFont="1" applyFill="1" applyBorder="1"/>
    <xf numFmtId="176" fontId="5" fillId="0" borderId="6" xfId="6" applyNumberFormat="1" applyFont="1" applyFill="1" applyBorder="1"/>
    <xf numFmtId="0" fontId="5" fillId="0" borderId="6" xfId="0" applyFont="1" applyFill="1" applyBorder="1" applyAlignment="1">
      <alignment horizontal="left" indent="1"/>
    </xf>
    <xf numFmtId="41" fontId="8" fillId="0" borderId="22" xfId="5" applyFont="1" applyFill="1" applyBorder="1"/>
    <xf numFmtId="0" fontId="10" fillId="0" borderId="35" xfId="0" applyFont="1" applyFill="1" applyBorder="1"/>
    <xf numFmtId="177" fontId="24" fillId="4" borderId="16" xfId="0" applyNumberFormat="1" applyFont="1" applyFill="1" applyBorder="1" applyAlignment="1">
      <alignment horizontal="center"/>
    </xf>
    <xf numFmtId="177" fontId="24" fillId="4" borderId="16" xfId="4" applyNumberFormat="1" applyFont="1" applyFill="1" applyBorder="1"/>
    <xf numFmtId="0" fontId="88" fillId="0" borderId="0" xfId="0" applyFont="1" applyFill="1" applyBorder="1"/>
    <xf numFmtId="177" fontId="8" fillId="4" borderId="16" xfId="4" applyNumberFormat="1" applyFont="1" applyFill="1" applyBorder="1"/>
    <xf numFmtId="0" fontId="87" fillId="0" borderId="6" xfId="0" applyFont="1" applyFill="1" applyBorder="1"/>
    <xf numFmtId="177" fontId="31" fillId="4" borderId="20" xfId="0" applyNumberFormat="1" applyFont="1" applyFill="1" applyBorder="1"/>
    <xf numFmtId="177" fontId="8" fillId="4" borderId="16" xfId="0" applyNumberFormat="1" applyFont="1" applyFill="1" applyBorder="1" applyAlignment="1">
      <alignment horizontal="center"/>
    </xf>
    <xf numFmtId="0" fontId="8" fillId="4" borderId="16" xfId="0" applyFont="1" applyFill="1" applyBorder="1" applyAlignment="1"/>
    <xf numFmtId="177" fontId="5" fillId="4" borderId="20" xfId="0" applyNumberFormat="1" applyFont="1" applyFill="1" applyBorder="1"/>
    <xf numFmtId="177" fontId="5" fillId="0" borderId="20" xfId="0" applyNumberFormat="1" applyFont="1" applyFill="1" applyBorder="1"/>
    <xf numFmtId="177" fontId="5" fillId="0" borderId="0" xfId="0" applyNumberFormat="1" applyFont="1" applyFill="1"/>
    <xf numFmtId="0" fontId="0" fillId="0" borderId="0" xfId="0" applyFont="1" applyFill="1"/>
    <xf numFmtId="0" fontId="88" fillId="0" borderId="6" xfId="0" applyFont="1" applyFill="1" applyBorder="1"/>
    <xf numFmtId="41" fontId="8" fillId="4" borderId="16" xfId="4" applyNumberFormat="1" applyFont="1" applyFill="1" applyBorder="1"/>
    <xf numFmtId="177" fontId="8" fillId="4" borderId="56" xfId="4" applyNumberFormat="1" applyFont="1" applyFill="1" applyBorder="1"/>
    <xf numFmtId="0" fontId="31" fillId="0" borderId="49" xfId="0" applyFont="1" applyFill="1" applyBorder="1"/>
    <xf numFmtId="0" fontId="31" fillId="0" borderId="19" xfId="0" applyFont="1" applyFill="1" applyBorder="1"/>
    <xf numFmtId="177" fontId="24" fillId="4" borderId="20" xfId="4" applyNumberFormat="1" applyFont="1" applyFill="1" applyBorder="1"/>
    <xf numFmtId="41" fontId="24" fillId="4" borderId="16" xfId="4" applyNumberFormat="1" applyFont="1" applyFill="1" applyBorder="1"/>
    <xf numFmtId="0" fontId="5" fillId="0" borderId="0" xfId="0" applyFont="1" applyBorder="1" applyAlignment="1">
      <alignment horizontal="left" vertical="center" indent="1"/>
    </xf>
    <xf numFmtId="177" fontId="9" fillId="0" borderId="6" xfId="4" applyNumberFormat="1" applyFont="1" applyFill="1" applyBorder="1" applyAlignment="1">
      <alignment vertical="top"/>
    </xf>
    <xf numFmtId="49" fontId="40" fillId="0" borderId="6" xfId="4" applyNumberFormat="1" applyFont="1" applyFill="1" applyBorder="1" applyAlignment="1">
      <alignment horizontal="center" vertical="top"/>
    </xf>
    <xf numFmtId="0" fontId="31" fillId="0" borderId="5" xfId="0" applyFont="1" applyFill="1" applyBorder="1" applyAlignment="1">
      <alignment vertical="top"/>
    </xf>
    <xf numFmtId="0" fontId="31" fillId="0" borderId="5" xfId="0" applyFont="1" applyBorder="1" applyAlignment="1">
      <alignment horizontal="left" indent="1"/>
    </xf>
    <xf numFmtId="0" fontId="5" fillId="0" borderId="24" xfId="0" applyFont="1" applyBorder="1" applyAlignment="1">
      <alignment horizontal="center"/>
    </xf>
    <xf numFmtId="177" fontId="5" fillId="0" borderId="5" xfId="0" applyNumberFormat="1" applyFont="1" applyBorder="1" applyAlignment="1">
      <alignment horizontal="center" vertical="center"/>
    </xf>
    <xf numFmtId="177" fontId="31" fillId="0" borderId="7" xfId="4" applyNumberFormat="1" applyFont="1" applyFill="1" applyBorder="1"/>
    <xf numFmtId="177" fontId="5" fillId="0" borderId="3" xfId="4" applyNumberFormat="1" applyFont="1" applyFill="1" applyBorder="1"/>
    <xf numFmtId="41" fontId="5" fillId="0" borderId="37" xfId="5" applyFont="1" applyFill="1" applyBorder="1"/>
    <xf numFmtId="41" fontId="5" fillId="0" borderId="6" xfId="4" applyNumberFormat="1" applyFont="1" applyFill="1" applyBorder="1"/>
    <xf numFmtId="49" fontId="31" fillId="0" borderId="14" xfId="0" applyNumberFormat="1" applyFont="1" applyFill="1" applyBorder="1" applyAlignment="1">
      <alignment wrapText="1"/>
    </xf>
    <xf numFmtId="0" fontId="31" fillId="0" borderId="14" xfId="0" applyFont="1" applyFill="1" applyBorder="1" applyAlignment="1">
      <alignment wrapText="1"/>
    </xf>
    <xf numFmtId="0" fontId="12" fillId="0" borderId="21" xfId="0" applyFont="1" applyBorder="1"/>
    <xf numFmtId="0" fontId="5" fillId="0" borderId="21" xfId="0" applyFont="1" applyFill="1" applyBorder="1" applyAlignment="1">
      <alignment wrapText="1"/>
    </xf>
    <xf numFmtId="0" fontId="12" fillId="0" borderId="21" xfId="0" applyFont="1" applyFill="1" applyBorder="1" applyAlignment="1">
      <alignment wrapText="1"/>
    </xf>
    <xf numFmtId="0" fontId="31" fillId="0" borderId="14" xfId="0" applyFont="1" applyFill="1" applyBorder="1" applyAlignment="1">
      <alignment horizontal="left" wrapText="1"/>
    </xf>
    <xf numFmtId="0" fontId="31" fillId="0" borderId="14" xfId="0" applyFont="1" applyFill="1" applyBorder="1" applyAlignment="1">
      <alignment horizontal="left" vertical="top" wrapText="1"/>
    </xf>
    <xf numFmtId="178" fontId="19" fillId="0" borderId="24" xfId="0" applyNumberFormat="1" applyFont="1" applyFill="1" applyBorder="1" applyAlignment="1">
      <alignment horizontal="center" vertical="center" shrinkToFit="1"/>
    </xf>
    <xf numFmtId="177" fontId="12" fillId="0" borderId="24" xfId="0" applyNumberFormat="1" applyFont="1" applyFill="1" applyBorder="1" applyAlignment="1">
      <alignment horizontal="center" vertical="center" shrinkToFit="1"/>
    </xf>
    <xf numFmtId="177" fontId="12" fillId="0" borderId="5" xfId="0" applyNumberFormat="1" applyFont="1" applyFill="1" applyBorder="1" applyAlignment="1">
      <alignment horizontal="center" vertical="center" shrinkToFit="1"/>
    </xf>
    <xf numFmtId="177" fontId="12" fillId="0" borderId="5" xfId="4" applyNumberFormat="1" applyFont="1" applyFill="1" applyBorder="1" applyAlignment="1">
      <alignment vertical="center" shrinkToFit="1"/>
    </xf>
    <xf numFmtId="177" fontId="5" fillId="0" borderId="5" xfId="4" applyNumberFormat="1" applyFont="1" applyFill="1" applyBorder="1" applyAlignment="1">
      <alignment vertical="center" shrinkToFit="1"/>
    </xf>
    <xf numFmtId="177" fontId="5" fillId="0" borderId="5" xfId="4" applyNumberFormat="1" applyFont="1" applyFill="1" applyBorder="1" applyAlignment="1">
      <alignment vertical="top"/>
    </xf>
    <xf numFmtId="177" fontId="5" fillId="0" borderId="17" xfId="4" applyNumberFormat="1" applyFont="1" applyFill="1" applyBorder="1" applyAlignment="1">
      <alignment vertical="center"/>
    </xf>
    <xf numFmtId="177" fontId="28" fillId="0" borderId="17" xfId="0" applyNumberFormat="1" applyFont="1" applyFill="1" applyBorder="1" applyAlignment="1">
      <alignment vertical="center" shrinkToFit="1"/>
    </xf>
    <xf numFmtId="178" fontId="11" fillId="0" borderId="24" xfId="0" applyNumberFormat="1" applyFont="1" applyFill="1" applyBorder="1" applyAlignment="1">
      <alignment horizontal="center" vertical="center" shrinkToFit="1"/>
    </xf>
    <xf numFmtId="177" fontId="12" fillId="0" borderId="30" xfId="0" applyNumberFormat="1" applyFont="1" applyFill="1" applyBorder="1" applyAlignment="1">
      <alignment horizontal="center" vertical="center" shrinkToFit="1"/>
    </xf>
    <xf numFmtId="177" fontId="12" fillId="0" borderId="14" xfId="0" applyNumberFormat="1" applyFont="1" applyFill="1" applyBorder="1" applyAlignment="1">
      <alignment horizontal="center" vertical="center" shrinkToFit="1"/>
    </xf>
    <xf numFmtId="177" fontId="12" fillId="0" borderId="14" xfId="4" applyNumberFormat="1" applyFont="1" applyFill="1" applyBorder="1" applyAlignment="1">
      <alignment vertical="center" shrinkToFit="1"/>
    </xf>
    <xf numFmtId="177" fontId="5" fillId="0" borderId="14" xfId="4" applyNumberFormat="1" applyFont="1" applyFill="1" applyBorder="1" applyAlignment="1">
      <alignment vertical="center"/>
    </xf>
    <xf numFmtId="177" fontId="5" fillId="0" borderId="14" xfId="4" applyNumberFormat="1" applyFont="1" applyFill="1" applyBorder="1" applyAlignment="1">
      <alignment vertical="center" shrinkToFit="1"/>
    </xf>
    <xf numFmtId="177" fontId="12" fillId="0" borderId="14" xfId="4" applyNumberFormat="1" applyFont="1" applyFill="1" applyBorder="1" applyAlignment="1">
      <alignment vertical="center"/>
    </xf>
    <xf numFmtId="41" fontId="31" fillId="0" borderId="14" xfId="4" applyNumberFormat="1" applyFont="1" applyFill="1" applyBorder="1" applyAlignment="1">
      <alignment vertical="center"/>
    </xf>
    <xf numFmtId="177" fontId="5" fillId="0" borderId="14" xfId="4" applyNumberFormat="1" applyFont="1" applyFill="1" applyBorder="1" applyAlignment="1">
      <alignment vertical="top"/>
    </xf>
    <xf numFmtId="177" fontId="28" fillId="0" borderId="18" xfId="0" applyNumberFormat="1" applyFont="1" applyFill="1" applyBorder="1" applyAlignment="1">
      <alignment vertical="center" shrinkToFit="1"/>
    </xf>
    <xf numFmtId="177" fontId="12" fillId="0" borderId="21" xfId="4" applyNumberFormat="1" applyFont="1" applyFill="1" applyBorder="1"/>
    <xf numFmtId="177" fontId="12" fillId="0" borderId="5" xfId="4" applyNumberFormat="1" applyFont="1" applyFill="1" applyBorder="1"/>
    <xf numFmtId="177" fontId="5" fillId="0" borderId="21" xfId="4" applyNumberFormat="1" applyFont="1" applyFill="1" applyBorder="1"/>
    <xf numFmtId="177" fontId="28" fillId="0" borderId="22" xfId="0" applyNumberFormat="1" applyFont="1" applyFill="1" applyBorder="1" applyAlignment="1">
      <alignment horizontal="center"/>
    </xf>
    <xf numFmtId="177" fontId="28" fillId="0" borderId="17" xfId="0" applyNumberFormat="1" applyFont="1" applyFill="1" applyBorder="1" applyAlignment="1">
      <alignment horizontal="center"/>
    </xf>
    <xf numFmtId="177" fontId="28" fillId="0" borderId="11" xfId="0" applyNumberFormat="1" applyFont="1" applyFill="1" applyBorder="1" applyAlignment="1">
      <alignment horizontal="center"/>
    </xf>
    <xf numFmtId="177" fontId="28" fillId="0" borderId="11" xfId="4" applyNumberFormat="1" applyFont="1" applyFill="1" applyBorder="1"/>
    <xf numFmtId="177" fontId="12" fillId="0" borderId="11" xfId="4" applyNumberFormat="1" applyFont="1" applyFill="1" applyBorder="1"/>
    <xf numFmtId="177" fontId="31" fillId="0" borderId="11" xfId="4" applyNumberFormat="1" applyFont="1" applyFill="1" applyBorder="1"/>
    <xf numFmtId="177" fontId="5" fillId="0" borderId="11" xfId="4" applyNumberFormat="1" applyFont="1" applyFill="1" applyBorder="1"/>
    <xf numFmtId="178" fontId="12" fillId="0" borderId="5" xfId="0" applyNumberFormat="1" applyFont="1" applyFill="1" applyBorder="1" applyAlignment="1">
      <alignment vertical="center"/>
    </xf>
    <xf numFmtId="178" fontId="12" fillId="0" borderId="14" xfId="0" applyNumberFormat="1" applyFont="1" applyFill="1" applyBorder="1" applyAlignment="1">
      <alignment vertical="center"/>
    </xf>
    <xf numFmtId="177" fontId="28" fillId="0" borderId="37" xfId="4" applyNumberFormat="1" applyFont="1" applyFill="1" applyBorder="1" applyAlignment="1">
      <alignment vertical="center"/>
    </xf>
    <xf numFmtId="177" fontId="28" fillId="0" borderId="22" xfId="4" applyNumberFormat="1" applyFont="1" applyFill="1" applyBorder="1" applyAlignment="1">
      <alignment vertical="center"/>
    </xf>
    <xf numFmtId="41" fontId="5" fillId="0" borderId="5" xfId="4" applyNumberFormat="1" applyFont="1" applyFill="1" applyBorder="1" applyAlignment="1">
      <alignment vertical="center"/>
    </xf>
    <xf numFmtId="41" fontId="5" fillId="0" borderId="5" xfId="0" applyNumberFormat="1" applyFont="1" applyFill="1" applyBorder="1" applyAlignment="1">
      <alignment vertical="center"/>
    </xf>
    <xf numFmtId="178" fontId="12" fillId="0" borderId="5" xfId="0" applyNumberFormat="1" applyFont="1" applyFill="1" applyBorder="1" applyAlignment="1">
      <alignment vertical="top" shrinkToFit="1"/>
    </xf>
    <xf numFmtId="184" fontId="12" fillId="0" borderId="0" xfId="0" applyNumberFormat="1" applyFont="1" applyFill="1" applyBorder="1" applyAlignment="1">
      <alignment vertical="top"/>
    </xf>
    <xf numFmtId="177" fontId="12" fillId="0" borderId="24" xfId="4" applyNumberFormat="1" applyFont="1" applyFill="1" applyBorder="1" applyAlignment="1">
      <alignment vertical="top" shrinkToFit="1"/>
    </xf>
    <xf numFmtId="177" fontId="5" fillId="0" borderId="5" xfId="4" applyNumberFormat="1" applyFont="1" applyFill="1" applyBorder="1" applyAlignment="1">
      <alignment vertical="top" shrinkToFit="1"/>
    </xf>
    <xf numFmtId="177" fontId="12" fillId="0" borderId="5" xfId="4" applyNumberFormat="1" applyFont="1" applyFill="1" applyBorder="1" applyAlignment="1">
      <alignment vertical="top" shrinkToFit="1"/>
    </xf>
    <xf numFmtId="178" fontId="5" fillId="0" borderId="6" xfId="0" applyNumberFormat="1" applyFont="1" applyFill="1" applyBorder="1" applyAlignment="1">
      <alignment vertical="center"/>
    </xf>
    <xf numFmtId="178" fontId="12" fillId="0" borderId="6" xfId="0" applyNumberFormat="1" applyFont="1" applyFill="1" applyBorder="1" applyAlignment="1">
      <alignment vertical="center"/>
    </xf>
    <xf numFmtId="0" fontId="5" fillId="0" borderId="35" xfId="0" applyFont="1" applyFill="1" applyBorder="1"/>
    <xf numFmtId="0" fontId="9" fillId="0"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36" xfId="0" applyFont="1" applyBorder="1" applyAlignment="1">
      <alignment horizontal="center" vertical="center" wrapText="1"/>
    </xf>
    <xf numFmtId="177" fontId="12" fillId="0" borderId="6" xfId="4" applyNumberFormat="1" applyFont="1" applyFill="1" applyBorder="1" applyAlignment="1">
      <alignment horizontal="center" vertical="top" wrapText="1"/>
    </xf>
    <xf numFmtId="177" fontId="5" fillId="0" borderId="6" xfId="0" applyNumberFormat="1" applyFont="1" applyFill="1" applyBorder="1" applyAlignment="1">
      <alignment horizontal="center" wrapText="1"/>
    </xf>
    <xf numFmtId="177" fontId="5" fillId="0" borderId="6" xfId="4" applyNumberFormat="1" applyFont="1" applyFill="1" applyBorder="1" applyAlignment="1">
      <alignment horizontal="center" wrapText="1"/>
    </xf>
    <xf numFmtId="0" fontId="5" fillId="0" borderId="6" xfId="0" applyFont="1" applyBorder="1" applyAlignment="1">
      <alignment wrapText="1"/>
    </xf>
    <xf numFmtId="177" fontId="12" fillId="0" borderId="35" xfId="0" applyNumberFormat="1" applyFont="1" applyBorder="1" applyAlignment="1">
      <alignment vertical="center" wrapText="1"/>
    </xf>
    <xf numFmtId="0" fontId="17" fillId="0" borderId="0" xfId="0" applyFont="1" applyAlignment="1">
      <alignment horizontal="center" vertical="center"/>
    </xf>
    <xf numFmtId="0" fontId="19" fillId="0" borderId="0" xfId="0" applyFont="1" applyAlignment="1">
      <alignment horizontal="center" vertical="center"/>
    </xf>
    <xf numFmtId="0" fontId="7" fillId="0" borderId="0" xfId="0" applyFont="1" applyAlignment="1">
      <alignment horizontal="center" vertical="center"/>
    </xf>
    <xf numFmtId="0" fontId="58" fillId="0" borderId="0" xfId="0" applyFont="1" applyBorder="1" applyAlignment="1">
      <alignment horizontal="center" vertical="center"/>
    </xf>
    <xf numFmtId="0" fontId="21" fillId="0" borderId="0" xfId="0" applyFont="1" applyBorder="1" applyAlignment="1">
      <alignment horizontal="center" vertical="center"/>
    </xf>
    <xf numFmtId="0" fontId="17" fillId="0" borderId="0" xfId="0" applyFont="1" applyAlignment="1">
      <alignment horizontal="center"/>
    </xf>
    <xf numFmtId="0" fontId="16" fillId="0" borderId="0" xfId="0" applyFont="1" applyAlignment="1">
      <alignment horizontal="center"/>
    </xf>
    <xf numFmtId="0" fontId="19" fillId="0" borderId="0" xfId="0" applyFont="1" applyAlignment="1">
      <alignment horizontal="center"/>
    </xf>
    <xf numFmtId="0" fontId="7" fillId="0" borderId="0" xfId="0" applyFont="1" applyAlignment="1">
      <alignment horizontal="center"/>
    </xf>
    <xf numFmtId="0" fontId="22" fillId="0" borderId="0" xfId="0" applyFont="1" applyAlignment="1">
      <alignment horizontal="center" vertical="top"/>
    </xf>
    <xf numFmtId="0" fontId="0" fillId="0" borderId="0" xfId="0" applyAlignment="1">
      <alignment horizontal="center" vertical="top"/>
    </xf>
    <xf numFmtId="0" fontId="15" fillId="0" borderId="0" xfId="0" applyFont="1" applyAlignment="1">
      <alignment horizontal="center"/>
    </xf>
    <xf numFmtId="0" fontId="26"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center" vertical="center"/>
    </xf>
    <xf numFmtId="0" fontId="59" fillId="0" borderId="0" xfId="0" applyFont="1" applyAlignment="1">
      <alignment horizontal="center" vertical="center"/>
    </xf>
    <xf numFmtId="0" fontId="50" fillId="0" borderId="0" xfId="0" applyFont="1" applyAlignment="1">
      <alignment horizontal="center" vertical="top"/>
    </xf>
    <xf numFmtId="0" fontId="5" fillId="0" borderId="0" xfId="0" applyFont="1" applyAlignment="1">
      <alignment horizontal="right"/>
    </xf>
    <xf numFmtId="0" fontId="12" fillId="0" borderId="0" xfId="0" applyFont="1" applyAlignment="1">
      <alignment horizontal="center" vertical="center"/>
    </xf>
    <xf numFmtId="0" fontId="58" fillId="0" borderId="0" xfId="0" applyFont="1" applyAlignment="1">
      <alignment horizontal="center" vertical="center"/>
    </xf>
    <xf numFmtId="0" fontId="8" fillId="0" borderId="19" xfId="0" applyFont="1" applyBorder="1" applyAlignment="1">
      <alignment horizontal="left" vertical="center" wrapText="1"/>
    </xf>
    <xf numFmtId="0" fontId="5" fillId="0" borderId="19" xfId="0" applyFont="1" applyBorder="1" applyAlignment="1">
      <alignment horizontal="left" vertical="center" wrapText="1"/>
    </xf>
    <xf numFmtId="0" fontId="8" fillId="0" borderId="0" xfId="0" applyFont="1" applyBorder="1" applyAlignment="1">
      <alignment horizontal="left" vertical="center"/>
    </xf>
    <xf numFmtId="0" fontId="5" fillId="0" borderId="0" xfId="0" applyFont="1" applyBorder="1" applyAlignment="1">
      <alignment horizontal="left" vertical="center"/>
    </xf>
    <xf numFmtId="0" fontId="17" fillId="0" borderId="0" xfId="0" applyFont="1" applyFill="1" applyAlignment="1">
      <alignment horizontal="center" vertical="center"/>
    </xf>
    <xf numFmtId="0" fontId="66" fillId="0" borderId="0" xfId="0" applyFont="1" applyFill="1" applyAlignment="1">
      <alignment horizontal="center" vertical="center"/>
    </xf>
    <xf numFmtId="0" fontId="16" fillId="0" borderId="0" xfId="0" applyFont="1" applyFill="1" applyAlignment="1">
      <alignment horizontal="center" vertical="center"/>
    </xf>
    <xf numFmtId="0" fontId="19" fillId="0" borderId="0" xfId="0" applyFont="1" applyFill="1" applyAlignment="1">
      <alignment horizontal="center" vertical="center"/>
    </xf>
    <xf numFmtId="0" fontId="7" fillId="0" borderId="0" xfId="0" applyFont="1" applyFill="1" applyAlignment="1">
      <alignment horizontal="center" vertical="center"/>
    </xf>
    <xf numFmtId="0" fontId="5" fillId="0" borderId="50"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51" xfId="0" applyFont="1" applyFill="1" applyBorder="1" applyAlignment="1">
      <alignment horizontal="center" vertical="center" wrapText="1"/>
    </xf>
    <xf numFmtId="0" fontId="13" fillId="0" borderId="41" xfId="0" applyFont="1" applyFill="1" applyBorder="1" applyAlignment="1">
      <alignment horizontal="center" vertical="center" wrapText="1"/>
    </xf>
    <xf numFmtId="0" fontId="5" fillId="0" borderId="51"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 xfId="0" applyFont="1" applyFill="1" applyBorder="1" applyAlignment="1">
      <alignment horizontal="center" vertical="center"/>
    </xf>
    <xf numFmtId="0" fontId="31" fillId="0" borderId="0" xfId="0" applyFont="1" applyBorder="1" applyAlignment="1">
      <alignment horizontal="left" wrapText="1"/>
    </xf>
    <xf numFmtId="0" fontId="31" fillId="0" borderId="11" xfId="0" applyFont="1" applyBorder="1" applyAlignment="1">
      <alignment horizontal="left" wrapText="1"/>
    </xf>
    <xf numFmtId="0" fontId="5" fillId="0" borderId="0" xfId="0" applyFont="1" applyBorder="1" applyAlignment="1">
      <alignment horizontal="left" vertical="center" wrapText="1" indent="2"/>
    </xf>
    <xf numFmtId="0" fontId="5" fillId="0" borderId="11" xfId="0" applyFont="1" applyBorder="1" applyAlignment="1">
      <alignment horizontal="left" vertical="center" wrapText="1" indent="2"/>
    </xf>
    <xf numFmtId="0" fontId="5" fillId="0" borderId="0" xfId="0" applyFont="1" applyBorder="1" applyAlignment="1">
      <alignment horizontal="left" vertical="center" wrapText="1" indent="1"/>
    </xf>
    <xf numFmtId="0" fontId="5" fillId="0" borderId="11" xfId="0" applyFont="1" applyBorder="1" applyAlignment="1">
      <alignment horizontal="left" vertical="center" wrapText="1" indent="1"/>
    </xf>
    <xf numFmtId="0" fontId="73" fillId="0" borderId="0" xfId="0" applyFont="1" applyAlignment="1">
      <alignment horizontal="center" vertical="center"/>
    </xf>
    <xf numFmtId="0" fontId="77" fillId="0" borderId="0" xfId="0" applyFont="1" applyAlignment="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0" fontId="31" fillId="0" borderId="0" xfId="0" applyFont="1" applyBorder="1" applyAlignment="1">
      <alignment horizontal="left" wrapText="1" indent="1"/>
    </xf>
    <xf numFmtId="0" fontId="31" fillId="0" borderId="11" xfId="0" applyFont="1" applyBorder="1" applyAlignment="1">
      <alignment horizontal="left" wrapText="1" indent="1"/>
    </xf>
    <xf numFmtId="0" fontId="5" fillId="0" borderId="0" xfId="0" applyFont="1" applyBorder="1" applyAlignment="1">
      <alignment horizontal="left" wrapText="1" indent="1"/>
    </xf>
    <xf numFmtId="0" fontId="5" fillId="0" borderId="11" xfId="0" applyFont="1" applyBorder="1" applyAlignment="1">
      <alignment horizontal="left" wrapText="1" indent="1"/>
    </xf>
    <xf numFmtId="0" fontId="37" fillId="0" borderId="0" xfId="0" applyFont="1" applyBorder="1" applyAlignment="1">
      <alignment horizontal="center" vertical="center"/>
    </xf>
    <xf numFmtId="0" fontId="0" fillId="0" borderId="0" xfId="0" applyAlignment="1"/>
    <xf numFmtId="0" fontId="42" fillId="0" borderId="0" xfId="0" applyFont="1" applyAlignment="1">
      <alignment horizontal="center" vertical="center"/>
    </xf>
    <xf numFmtId="0" fontId="45" fillId="0" borderId="0" xfId="0" applyFont="1" applyAlignment="1">
      <alignment horizontal="center" vertical="center"/>
    </xf>
    <xf numFmtId="0" fontId="67" fillId="0" borderId="0" xfId="0" applyFont="1" applyAlignment="1"/>
    <xf numFmtId="0" fontId="31" fillId="0" borderId="0" xfId="0" applyFont="1" applyBorder="1" applyAlignment="1">
      <alignment horizontal="left" vertical="center" wrapText="1" indent="2"/>
    </xf>
    <xf numFmtId="0" fontId="31" fillId="0" borderId="11" xfId="0" applyFont="1" applyBorder="1" applyAlignment="1">
      <alignment horizontal="left" vertical="center" wrapText="1" indent="2"/>
    </xf>
    <xf numFmtId="0" fontId="31" fillId="0" borderId="19" xfId="0" applyFont="1" applyBorder="1" applyAlignment="1">
      <alignment horizontal="left" wrapText="1"/>
    </xf>
    <xf numFmtId="0" fontId="31" fillId="0" borderId="33" xfId="0" applyFont="1" applyBorder="1" applyAlignment="1">
      <alignment horizontal="left" wrapText="1"/>
    </xf>
    <xf numFmtId="0" fontId="5" fillId="0" borderId="6" xfId="0" applyFont="1" applyFill="1" applyBorder="1" applyAlignment="1">
      <alignment horizontal="left" wrapText="1" indent="1"/>
    </xf>
    <xf numFmtId="0" fontId="5" fillId="0" borderId="7" xfId="0" applyFont="1" applyFill="1" applyBorder="1" applyAlignment="1">
      <alignment horizontal="left" wrapText="1" indent="1"/>
    </xf>
    <xf numFmtId="0" fontId="7" fillId="0" borderId="0" xfId="0" applyFont="1" applyFill="1" applyAlignment="1">
      <alignment horizontal="center"/>
    </xf>
    <xf numFmtId="0" fontId="17" fillId="0" borderId="0" xfId="0" applyFont="1" applyFill="1" applyAlignment="1">
      <alignment horizontal="center"/>
    </xf>
    <xf numFmtId="0" fontId="16" fillId="0" borderId="0" xfId="0" applyFont="1" applyFill="1" applyAlignment="1">
      <alignment horizontal="center"/>
    </xf>
    <xf numFmtId="0" fontId="19" fillId="0" borderId="0" xfId="0" applyFont="1" applyFill="1" applyAlignment="1">
      <alignment horizontal="center"/>
    </xf>
    <xf numFmtId="0" fontId="8" fillId="0" borderId="51"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50" xfId="0" applyFont="1" applyFill="1" applyBorder="1" applyAlignment="1">
      <alignment horizontal="center" vertical="center"/>
    </xf>
    <xf numFmtId="0" fontId="5" fillId="0" borderId="46" xfId="0" applyFont="1" applyFill="1" applyBorder="1" applyAlignment="1">
      <alignment horizontal="center" vertical="center"/>
    </xf>
    <xf numFmtId="0" fontId="0" fillId="0" borderId="48" xfId="0" applyFill="1" applyBorder="1" applyAlignment="1">
      <alignment horizontal="center" vertical="center"/>
    </xf>
    <xf numFmtId="0" fontId="5" fillId="0" borderId="49" xfId="0" applyFont="1" applyFill="1" applyBorder="1" applyAlignment="1">
      <alignment horizontal="center" vertical="center"/>
    </xf>
    <xf numFmtId="0" fontId="5" fillId="0" borderId="44" xfId="0" applyFont="1" applyFill="1" applyBorder="1" applyAlignment="1">
      <alignment horizontal="center" vertical="center"/>
    </xf>
    <xf numFmtId="0" fontId="0" fillId="0" borderId="52" xfId="0" applyFill="1" applyBorder="1" applyAlignment="1">
      <alignment horizontal="center" vertical="center"/>
    </xf>
    <xf numFmtId="0" fontId="0" fillId="0" borderId="25" xfId="0" applyFill="1" applyBorder="1" applyAlignment="1">
      <alignment horizontal="center" vertical="center"/>
    </xf>
    <xf numFmtId="0" fontId="73" fillId="0" borderId="0" xfId="0" applyFont="1" applyAlignment="1">
      <alignment horizontal="center"/>
    </xf>
    <xf numFmtId="0" fontId="45" fillId="0" borderId="0" xfId="0" applyFont="1" applyAlignment="1">
      <alignment horizontal="center"/>
    </xf>
    <xf numFmtId="0" fontId="42" fillId="0" borderId="0" xfId="0" applyFont="1" applyAlignment="1">
      <alignment horizontal="center"/>
    </xf>
    <xf numFmtId="0" fontId="37" fillId="0" borderId="0" xfId="0" applyFont="1" applyAlignment="1">
      <alignment horizontal="center"/>
    </xf>
    <xf numFmtId="0" fontId="31" fillId="0" borderId="19" xfId="0" applyFont="1" applyFill="1" applyBorder="1" applyAlignment="1">
      <alignment horizontal="left" vertical="top" wrapText="1"/>
    </xf>
    <xf numFmtId="0" fontId="0" fillId="0" borderId="19" xfId="0" applyBorder="1" applyAlignment="1">
      <alignment horizontal="left" vertical="top" wrapText="1"/>
    </xf>
    <xf numFmtId="0" fontId="31" fillId="0" borderId="42" xfId="0" applyFont="1" applyBorder="1" applyAlignment="1">
      <alignment horizontal="center" vertical="center"/>
    </xf>
    <xf numFmtId="0" fontId="32" fillId="0" borderId="53" xfId="0" applyFont="1" applyBorder="1" applyAlignment="1">
      <alignment horizontal="center" vertical="center"/>
    </xf>
    <xf numFmtId="41" fontId="31" fillId="0" borderId="49" xfId="0" applyNumberFormat="1" applyFont="1" applyBorder="1" applyAlignment="1">
      <alignment horizontal="center" vertical="center"/>
    </xf>
    <xf numFmtId="41" fontId="32" fillId="0" borderId="52" xfId="0" applyNumberFormat="1" applyFont="1" applyBorder="1" applyAlignment="1">
      <alignment vertical="center"/>
    </xf>
    <xf numFmtId="0" fontId="31" fillId="0" borderId="46" xfId="0" applyFont="1" applyBorder="1" applyAlignment="1">
      <alignment horizontal="center" vertical="center"/>
    </xf>
    <xf numFmtId="0" fontId="32" fillId="0" borderId="48" xfId="0" applyFont="1" applyBorder="1" applyAlignment="1">
      <alignment horizontal="center" vertical="center"/>
    </xf>
    <xf numFmtId="0" fontId="73" fillId="2" borderId="0" xfId="0" applyFont="1" applyFill="1" applyAlignment="1">
      <alignment horizontal="center"/>
    </xf>
    <xf numFmtId="0" fontId="45" fillId="2" borderId="0" xfId="0" applyFont="1" applyFill="1" applyAlignment="1">
      <alignment horizontal="center"/>
    </xf>
    <xf numFmtId="0" fontId="42" fillId="2" borderId="0" xfId="0" applyFont="1" applyFill="1" applyAlignment="1">
      <alignment horizontal="center"/>
    </xf>
    <xf numFmtId="0" fontId="37" fillId="2" borderId="0" xfId="0" applyFont="1" applyFill="1" applyAlignment="1">
      <alignment horizontal="center"/>
    </xf>
    <xf numFmtId="0" fontId="35" fillId="2" borderId="8" xfId="0" applyFont="1" applyFill="1" applyBorder="1" applyAlignment="1">
      <alignment horizontal="center" wrapText="1"/>
    </xf>
    <xf numFmtId="0" fontId="7" fillId="0" borderId="7" xfId="0" applyFont="1" applyBorder="1" applyAlignment="1">
      <alignment horizontal="center" wrapText="1"/>
    </xf>
    <xf numFmtId="0" fontId="24" fillId="2" borderId="51" xfId="0" applyFont="1" applyFill="1" applyBorder="1" applyAlignment="1">
      <alignment horizontal="center" vertical="center"/>
    </xf>
    <xf numFmtId="0" fontId="31" fillId="2" borderId="54" xfId="0" applyFont="1" applyFill="1" applyBorder="1" applyAlignment="1">
      <alignment horizontal="center" vertical="center"/>
    </xf>
    <xf numFmtId="0" fontId="31" fillId="2" borderId="40" xfId="0" applyFont="1" applyFill="1" applyBorder="1" applyAlignment="1">
      <alignment horizontal="center" vertical="center"/>
    </xf>
    <xf numFmtId="0" fontId="31" fillId="2" borderId="32" xfId="0" applyFont="1" applyFill="1" applyBorder="1" applyAlignment="1">
      <alignment horizontal="center" vertical="center"/>
    </xf>
    <xf numFmtId="0" fontId="31" fillId="2" borderId="44" xfId="0" applyFont="1" applyFill="1" applyBorder="1" applyAlignment="1">
      <alignment horizontal="center" vertical="center"/>
    </xf>
    <xf numFmtId="0" fontId="31" fillId="2" borderId="55" xfId="0" applyFont="1" applyFill="1" applyBorder="1" applyAlignment="1">
      <alignment horizontal="center" vertical="center"/>
    </xf>
    <xf numFmtId="0" fontId="31" fillId="2" borderId="25" xfId="0" applyFont="1" applyFill="1" applyBorder="1" applyAlignment="1">
      <alignment horizontal="center" vertical="center"/>
    </xf>
    <xf numFmtId="0" fontId="31" fillId="2" borderId="4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46" xfId="0" applyFont="1" applyFill="1" applyBorder="1" applyAlignment="1">
      <alignment horizontal="center" vertical="center"/>
    </xf>
    <xf numFmtId="0" fontId="31" fillId="2" borderId="48" xfId="0" applyFont="1" applyFill="1" applyBorder="1" applyAlignment="1">
      <alignment horizontal="center" vertical="center"/>
    </xf>
    <xf numFmtId="0" fontId="30" fillId="0" borderId="0" xfId="0" applyFont="1" applyBorder="1" applyAlignment="1">
      <alignment vertical="top" wrapText="1"/>
    </xf>
    <xf numFmtId="0" fontId="31" fillId="0" borderId="32" xfId="0" applyFont="1" applyBorder="1" applyAlignment="1">
      <alignment horizontal="center" vertical="center"/>
    </xf>
    <xf numFmtId="0" fontId="31" fillId="0" borderId="44" xfId="0" applyFont="1" applyBorder="1" applyAlignment="1">
      <alignment horizontal="center" vertical="center"/>
    </xf>
    <xf numFmtId="0" fontId="32" fillId="0" borderId="55" xfId="0" applyFont="1" applyBorder="1" applyAlignment="1">
      <alignment horizontal="center" vertical="center"/>
    </xf>
    <xf numFmtId="0" fontId="32" fillId="0" borderId="25" xfId="0" applyFont="1" applyBorder="1" applyAlignment="1">
      <alignment horizontal="center" vertical="center"/>
    </xf>
    <xf numFmtId="0" fontId="31" fillId="0" borderId="43" xfId="0" applyFont="1" applyBorder="1" applyAlignment="1">
      <alignment horizontal="center" vertical="center"/>
    </xf>
    <xf numFmtId="0" fontId="32" fillId="0" borderId="4" xfId="0" applyFont="1" applyBorder="1" applyAlignment="1">
      <alignment horizontal="center" vertical="center"/>
    </xf>
    <xf numFmtId="0" fontId="31" fillId="0" borderId="46" xfId="0" applyFont="1" applyBorder="1" applyAlignment="1">
      <alignment horizontal="distributed" vertical="center"/>
    </xf>
    <xf numFmtId="0" fontId="32" fillId="0" borderId="48" xfId="0" applyFont="1" applyBorder="1" applyAlignment="1">
      <alignment horizontal="distributed" vertical="center"/>
    </xf>
    <xf numFmtId="0" fontId="31" fillId="0" borderId="31" xfId="0" applyFont="1" applyBorder="1" applyAlignment="1">
      <alignment horizontal="center" vertical="center"/>
    </xf>
    <xf numFmtId="0" fontId="31" fillId="0" borderId="10" xfId="0" applyFont="1" applyBorder="1" applyAlignment="1">
      <alignment horizontal="center" vertical="center"/>
    </xf>
    <xf numFmtId="0" fontId="33" fillId="0" borderId="12" xfId="0" applyFont="1" applyBorder="1" applyAlignment="1">
      <alignment horizontal="right"/>
    </xf>
    <xf numFmtId="0" fontId="31" fillId="0" borderId="12" xfId="0" applyFont="1" applyBorder="1" applyAlignment="1">
      <alignment horizontal="right"/>
    </xf>
    <xf numFmtId="0" fontId="37" fillId="0" borderId="0" xfId="0" applyFont="1" applyAlignment="1">
      <alignment horizontal="center" vertical="center"/>
    </xf>
    <xf numFmtId="0" fontId="23" fillId="0" borderId="31" xfId="0" applyFont="1" applyBorder="1" applyAlignment="1">
      <alignment horizontal="center" vertical="center"/>
    </xf>
    <xf numFmtId="0" fontId="23" fillId="0" borderId="3" xfId="0" applyFont="1" applyBorder="1" applyAlignment="1">
      <alignment horizontal="center" vertical="center"/>
    </xf>
    <xf numFmtId="0" fontId="33" fillId="0" borderId="8"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28" fillId="0" borderId="23" xfId="0" applyFont="1" applyFill="1" applyBorder="1" applyAlignment="1">
      <alignment horizontal="center" vertical="center"/>
    </xf>
    <xf numFmtId="0" fontId="29" fillId="0" borderId="27" xfId="0" applyFont="1" applyFill="1" applyBorder="1" applyAlignment="1">
      <alignment horizontal="center" vertical="center"/>
    </xf>
    <xf numFmtId="0" fontId="31" fillId="0" borderId="9" xfId="0" applyFont="1" applyBorder="1" applyAlignment="1">
      <alignment horizontal="center" vertical="center"/>
    </xf>
    <xf numFmtId="0" fontId="31" fillId="0" borderId="34" xfId="0" applyFont="1" applyBorder="1" applyAlignment="1">
      <alignment horizontal="center" vertical="center"/>
    </xf>
    <xf numFmtId="0" fontId="31" fillId="0" borderId="3" xfId="0" applyFont="1" applyBorder="1" applyAlignment="1">
      <alignment horizontal="center" vertical="center"/>
    </xf>
    <xf numFmtId="0" fontId="33" fillId="0" borderId="8" xfId="0" applyFont="1" applyFill="1" applyBorder="1" applyAlignment="1">
      <alignment horizontal="left" vertical="center"/>
    </xf>
    <xf numFmtId="0" fontId="31" fillId="0" borderId="7" xfId="0" applyFont="1" applyFill="1" applyBorder="1" applyAlignment="1">
      <alignment horizontal="left" vertical="center"/>
    </xf>
    <xf numFmtId="0" fontId="31" fillId="0" borderId="8" xfId="0" applyFont="1" applyFill="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left" vertical="center"/>
    </xf>
    <xf numFmtId="0" fontId="33" fillId="0" borderId="8" xfId="0" applyFont="1" applyFill="1" applyBorder="1" applyAlignment="1">
      <alignment horizontal="left" vertical="top"/>
    </xf>
    <xf numFmtId="0" fontId="33" fillId="0" borderId="7" xfId="0" applyFont="1" applyFill="1" applyBorder="1" applyAlignment="1">
      <alignment horizontal="left" vertical="top"/>
    </xf>
    <xf numFmtId="0" fontId="33" fillId="0" borderId="8" xfId="0" applyFont="1" applyFill="1" applyBorder="1" applyAlignment="1">
      <alignment vertical="top" wrapText="1"/>
    </xf>
    <xf numFmtId="0" fontId="0" fillId="0" borderId="7" xfId="0" applyBorder="1" applyAlignment="1">
      <alignment vertical="top" wrapText="1"/>
    </xf>
    <xf numFmtId="0" fontId="28" fillId="0" borderId="6" xfId="0" applyFont="1" applyFill="1" applyBorder="1" applyAlignment="1">
      <alignment horizontal="left"/>
    </xf>
    <xf numFmtId="0" fontId="28" fillId="0" borderId="0" xfId="0" applyFont="1" applyFill="1" applyBorder="1" applyAlignment="1">
      <alignment horizontal="left"/>
    </xf>
    <xf numFmtId="0" fontId="73" fillId="0" borderId="0" xfId="0" applyFont="1" applyFill="1" applyAlignment="1">
      <alignment horizontal="center" vertical="center"/>
    </xf>
    <xf numFmtId="0" fontId="45" fillId="0" borderId="0" xfId="0" applyFont="1" applyFill="1" applyAlignment="1">
      <alignment horizontal="center" vertical="center"/>
    </xf>
    <xf numFmtId="0" fontId="42" fillId="0" borderId="0" xfId="0" applyFont="1" applyFill="1" applyAlignment="1">
      <alignment horizontal="center" vertical="center"/>
    </xf>
    <xf numFmtId="0" fontId="37" fillId="0" borderId="0" xfId="0" applyFont="1" applyFill="1" applyAlignment="1">
      <alignment horizontal="center" vertical="center"/>
    </xf>
    <xf numFmtId="0" fontId="24" fillId="0" borderId="12" xfId="0" applyFont="1" applyFill="1" applyBorder="1" applyAlignment="1">
      <alignment horizontal="right"/>
    </xf>
    <xf numFmtId="0" fontId="12" fillId="0" borderId="56" xfId="0" applyFont="1" applyFill="1" applyBorder="1" applyAlignment="1">
      <alignment horizontal="center" vertical="center" wrapText="1"/>
    </xf>
    <xf numFmtId="0" fontId="64" fillId="0" borderId="20" xfId="0" applyFont="1" applyFill="1" applyBorder="1" applyAlignment="1">
      <alignment horizontal="center" vertical="center"/>
    </xf>
    <xf numFmtId="0" fontId="28" fillId="0" borderId="32" xfId="0" applyFont="1" applyFill="1" applyBorder="1" applyAlignment="1">
      <alignment horizontal="center" vertical="center"/>
    </xf>
    <xf numFmtId="0" fontId="28" fillId="0" borderId="33"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13" xfId="0" applyFont="1" applyFill="1" applyBorder="1" applyAlignment="1">
      <alignment horizontal="center" vertical="center"/>
    </xf>
    <xf numFmtId="0" fontId="12" fillId="0" borderId="56" xfId="0" applyFont="1" applyFill="1" applyBorder="1" applyAlignment="1">
      <alignment horizontal="center" vertical="center"/>
    </xf>
    <xf numFmtId="0" fontId="31" fillId="0" borderId="6" xfId="0" applyFont="1" applyFill="1" applyBorder="1" applyAlignment="1">
      <alignment horizontal="left"/>
    </xf>
    <xf numFmtId="0" fontId="31" fillId="0" borderId="0" xfId="0" applyFont="1" applyFill="1" applyBorder="1" applyAlignment="1">
      <alignment horizontal="left"/>
    </xf>
    <xf numFmtId="0" fontId="24" fillId="0" borderId="49" xfId="0" applyFont="1" applyFill="1" applyBorder="1" applyAlignment="1">
      <alignment horizontal="left"/>
    </xf>
    <xf numFmtId="0" fontId="24" fillId="0" borderId="19" xfId="0" applyFont="1" applyFill="1" applyBorder="1" applyAlignment="1">
      <alignment horizontal="left"/>
    </xf>
    <xf numFmtId="0" fontId="24" fillId="0" borderId="6" xfId="0" applyFont="1" applyFill="1" applyBorder="1" applyAlignment="1"/>
    <xf numFmtId="0" fontId="24" fillId="0" borderId="0" xfId="0" applyFont="1" applyFill="1" applyBorder="1" applyAlignment="1"/>
    <xf numFmtId="0" fontId="24" fillId="0" borderId="8" xfId="0" applyFont="1" applyFill="1" applyBorder="1" applyAlignment="1"/>
    <xf numFmtId="0" fontId="5" fillId="0" borderId="11" xfId="0" applyFont="1" applyBorder="1" applyAlignment="1"/>
    <xf numFmtId="0" fontId="28" fillId="0" borderId="8" xfId="0" applyFont="1" applyFill="1" applyBorder="1" applyAlignment="1">
      <alignment horizontal="left" wrapText="1"/>
    </xf>
    <xf numFmtId="0" fontId="28" fillId="0" borderId="11" xfId="0" applyFont="1" applyFill="1" applyBorder="1" applyAlignment="1">
      <alignment horizontal="left" wrapText="1"/>
    </xf>
    <xf numFmtId="0" fontId="31" fillId="0" borderId="23" xfId="0" applyFont="1" applyFill="1" applyBorder="1" applyAlignment="1">
      <alignment horizontal="center"/>
    </xf>
    <xf numFmtId="0" fontId="30" fillId="0" borderId="13" xfId="0" applyFont="1" applyFill="1" applyBorder="1" applyAlignment="1">
      <alignment horizontal="center"/>
    </xf>
    <xf numFmtId="0" fontId="31" fillId="0" borderId="8" xfId="0" applyFont="1" applyFill="1" applyBorder="1" applyAlignment="1">
      <alignment horizontal="left" wrapText="1"/>
    </xf>
    <xf numFmtId="0" fontId="0" fillId="0" borderId="11" xfId="0" applyBorder="1" applyAlignment="1">
      <alignment horizontal="left" wrapText="1"/>
    </xf>
    <xf numFmtId="0" fontId="8" fillId="0" borderId="11" xfId="0" applyFont="1" applyBorder="1" applyAlignment="1"/>
    <xf numFmtId="0" fontId="5" fillId="0" borderId="11" xfId="0" applyFont="1" applyBorder="1" applyAlignment="1">
      <alignment horizontal="left" wrapText="1"/>
    </xf>
    <xf numFmtId="0" fontId="28" fillId="0" borderId="7" xfId="0" applyFont="1" applyFill="1" applyBorder="1" applyAlignment="1">
      <alignment horizontal="left"/>
    </xf>
    <xf numFmtId="0" fontId="28" fillId="0" borderId="35" xfId="0" applyFont="1" applyFill="1" applyBorder="1" applyAlignment="1">
      <alignment horizontal="center"/>
    </xf>
    <xf numFmtId="0" fontId="28" fillId="0" borderId="27" xfId="0" applyFont="1" applyFill="1" applyBorder="1" applyAlignment="1">
      <alignment horizontal="center"/>
    </xf>
    <xf numFmtId="0" fontId="31" fillId="0" borderId="53" xfId="0" applyFont="1" applyBorder="1" applyAlignment="1">
      <alignment horizontal="center" vertical="center"/>
    </xf>
    <xf numFmtId="0" fontId="31" fillId="0" borderId="48" xfId="0" applyFont="1" applyBorder="1" applyAlignment="1">
      <alignment horizontal="center" vertical="center"/>
    </xf>
    <xf numFmtId="0" fontId="31" fillId="0" borderId="4" xfId="0" applyFont="1" applyBorder="1" applyAlignment="1">
      <alignment horizontal="center" vertical="center"/>
    </xf>
    <xf numFmtId="0" fontId="28" fillId="0" borderId="56" xfId="0" applyFont="1" applyBorder="1" applyAlignment="1">
      <alignment horizontal="center" vertical="center" wrapText="1"/>
    </xf>
    <xf numFmtId="0" fontId="29" fillId="0" borderId="20" xfId="0" applyFont="1" applyBorder="1" applyAlignment="1">
      <alignment horizontal="center" vertical="center"/>
    </xf>
    <xf numFmtId="0" fontId="28" fillId="0" borderId="56" xfId="0" applyFont="1" applyBorder="1" applyAlignment="1">
      <alignment horizontal="center" vertical="center"/>
    </xf>
    <xf numFmtId="0" fontId="28" fillId="0" borderId="32" xfId="0" applyFont="1" applyBorder="1" applyAlignment="1">
      <alignment horizontal="center" vertical="center"/>
    </xf>
    <xf numFmtId="0" fontId="28" fillId="0" borderId="33" xfId="0" applyFont="1" applyBorder="1" applyAlignment="1">
      <alignment horizontal="center" vertical="center"/>
    </xf>
    <xf numFmtId="0" fontId="29" fillId="0" borderId="23" xfId="0" applyFont="1" applyBorder="1" applyAlignment="1">
      <alignment horizontal="center" vertical="center"/>
    </xf>
    <xf numFmtId="0" fontId="29" fillId="0" borderId="13" xfId="0" applyFont="1" applyBorder="1" applyAlignment="1">
      <alignment horizontal="center" vertical="center"/>
    </xf>
    <xf numFmtId="0" fontId="28" fillId="0" borderId="35" xfId="0" applyFont="1" applyFill="1" applyBorder="1" applyAlignment="1">
      <alignment horizontal="left"/>
    </xf>
    <xf numFmtId="0" fontId="28" fillId="0" borderId="12" xfId="0" applyFont="1" applyFill="1" applyBorder="1" applyAlignment="1">
      <alignment horizontal="left"/>
    </xf>
    <xf numFmtId="0" fontId="25" fillId="0" borderId="6" xfId="0" applyFont="1" applyFill="1" applyBorder="1" applyAlignment="1">
      <alignment horizontal="left"/>
    </xf>
    <xf numFmtId="0" fontId="30" fillId="0" borderId="0" xfId="0" applyFont="1" applyBorder="1" applyAlignment="1">
      <alignment horizontal="left"/>
    </xf>
    <xf numFmtId="0" fontId="24" fillId="0" borderId="12" xfId="0" applyFont="1" applyBorder="1" applyAlignment="1">
      <alignment horizontal="right"/>
    </xf>
    <xf numFmtId="0" fontId="12" fillId="0" borderId="27" xfId="0" applyFont="1" applyBorder="1" applyAlignment="1">
      <alignment horizontal="center"/>
    </xf>
    <xf numFmtId="0" fontId="31" fillId="0" borderId="33" xfId="0" applyFont="1" applyBorder="1" applyAlignment="1">
      <alignment horizontal="center" vertical="center"/>
    </xf>
    <xf numFmtId="0" fontId="32" fillId="0" borderId="57" xfId="0" applyFont="1" applyBorder="1" applyAlignment="1">
      <alignment horizontal="center" vertical="center"/>
    </xf>
    <xf numFmtId="0" fontId="28" fillId="0" borderId="5" xfId="0" applyFont="1" applyFill="1" applyBorder="1" applyAlignment="1">
      <alignment horizontal="left"/>
    </xf>
    <xf numFmtId="0" fontId="28" fillId="0" borderId="28" xfId="0" applyFont="1" applyBorder="1" applyAlignment="1">
      <alignment horizontal="left"/>
    </xf>
    <xf numFmtId="0" fontId="28" fillId="0" borderId="38" xfId="0" applyFont="1" applyBorder="1" applyAlignment="1">
      <alignment horizontal="left"/>
    </xf>
    <xf numFmtId="0" fontId="31" fillId="0" borderId="56" xfId="0" applyFont="1" applyBorder="1" applyAlignment="1">
      <alignment horizontal="center" vertical="center"/>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13" xfId="0" applyFont="1" applyBorder="1" applyAlignment="1">
      <alignment horizontal="center" vertical="center"/>
    </xf>
    <xf numFmtId="0" fontId="35" fillId="0" borderId="6" xfId="0" applyFont="1" applyFill="1" applyBorder="1" applyAlignment="1">
      <alignment horizontal="left"/>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12" xfId="0" applyFont="1" applyBorder="1" applyAlignment="1">
      <alignment horizontal="center" vertical="center"/>
    </xf>
    <xf numFmtId="0" fontId="17"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7" fillId="0" borderId="0" xfId="0" applyFont="1" applyBorder="1" applyAlignment="1">
      <alignment horizontal="center" vertical="center"/>
    </xf>
    <xf numFmtId="0" fontId="13" fillId="0" borderId="0" xfId="0" applyFont="1" applyAlignment="1">
      <alignment horizontal="center" vertical="center"/>
    </xf>
    <xf numFmtId="0" fontId="66" fillId="0" borderId="0" xfId="0" applyFont="1" applyAlignment="1">
      <alignment horizontal="center" vertical="center"/>
    </xf>
    <xf numFmtId="0" fontId="50" fillId="0" borderId="0" xfId="0" applyFont="1" applyAlignment="1">
      <alignment horizontal="center" vertical="center"/>
    </xf>
    <xf numFmtId="0" fontId="42" fillId="0" borderId="0" xfId="0" applyFont="1" applyAlignment="1">
      <alignment horizontal="center" vertical="center" wrapText="1"/>
    </xf>
    <xf numFmtId="0" fontId="50" fillId="0" borderId="0" xfId="0" applyFont="1" applyAlignment="1">
      <alignment horizontal="center" vertical="center" wrapText="1"/>
    </xf>
    <xf numFmtId="0" fontId="31" fillId="0" borderId="12" xfId="0" applyFont="1" applyBorder="1" applyAlignment="1">
      <alignment horizontal="right" vertical="center"/>
    </xf>
    <xf numFmtId="0" fontId="67" fillId="0" borderId="12" xfId="0" applyFont="1" applyBorder="1" applyAlignment="1">
      <alignment horizontal="right" vertical="center"/>
    </xf>
    <xf numFmtId="0" fontId="37" fillId="0" borderId="0" xfId="0" applyFont="1" applyAlignment="1">
      <alignment horizontal="center" vertical="center" wrapText="1"/>
    </xf>
    <xf numFmtId="0" fontId="31" fillId="0" borderId="58" xfId="0" applyFont="1" applyBorder="1" applyAlignment="1">
      <alignment horizontal="center" wrapText="1"/>
    </xf>
    <xf numFmtId="0" fontId="31" fillId="0" borderId="26" xfId="0" applyFont="1" applyBorder="1" applyAlignment="1">
      <alignment horizontal="center" wrapText="1"/>
    </xf>
    <xf numFmtId="0" fontId="23" fillId="0" borderId="58" xfId="0" applyFont="1" applyBorder="1" applyAlignment="1">
      <alignment horizontal="center" wrapText="1"/>
    </xf>
    <xf numFmtId="0" fontId="23" fillId="0" borderId="26" xfId="0" applyFont="1" applyBorder="1" applyAlignment="1">
      <alignment horizontal="center" wrapText="1"/>
    </xf>
    <xf numFmtId="0" fontId="31" fillId="0" borderId="51" xfId="0" applyFont="1" applyBorder="1" applyAlignment="1">
      <alignment horizontal="center" wrapText="1"/>
    </xf>
    <xf numFmtId="0" fontId="31" fillId="0" borderId="41" xfId="0" applyFont="1" applyBorder="1" applyAlignment="1">
      <alignment horizontal="center" wrapText="1"/>
    </xf>
    <xf numFmtId="0" fontId="31" fillId="0" borderId="42"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54" xfId="0" applyFont="1" applyBorder="1" applyAlignment="1">
      <alignment horizontal="center" wrapText="1"/>
    </xf>
    <xf numFmtId="0" fontId="31" fillId="0" borderId="40" xfId="0" applyFont="1" applyBorder="1" applyAlignment="1">
      <alignment horizontal="center" wrapText="1"/>
    </xf>
    <xf numFmtId="0" fontId="24" fillId="0" borderId="24" xfId="0" applyFont="1" applyBorder="1" applyAlignment="1">
      <alignment horizontal="center" vertical="center" wrapText="1"/>
    </xf>
    <xf numFmtId="0" fontId="0" fillId="0" borderId="4" xfId="0" applyBorder="1" applyAlignment="1">
      <alignment horizontal="center" vertical="center" wrapText="1"/>
    </xf>
    <xf numFmtId="0" fontId="31" fillId="0" borderId="24"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48" xfId="0" applyFont="1" applyBorder="1" applyAlignment="1">
      <alignment horizontal="center" vertical="center" wrapText="1"/>
    </xf>
    <xf numFmtId="0" fontId="23" fillId="0" borderId="24" xfId="0" applyFont="1" applyBorder="1" applyAlignment="1">
      <alignment horizontal="center" vertical="center" wrapText="1"/>
    </xf>
    <xf numFmtId="0" fontId="71" fillId="0" borderId="4" xfId="0" applyFont="1" applyBorder="1" applyAlignment="1">
      <alignment horizontal="center" vertical="center" wrapText="1"/>
    </xf>
    <xf numFmtId="0" fontId="23" fillId="0" borderId="24" xfId="0" applyFont="1" applyBorder="1" applyAlignment="1">
      <alignment horizontal="justify" vertical="center" wrapText="1"/>
    </xf>
    <xf numFmtId="0" fontId="23"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3" fillId="0" borderId="0" xfId="0" applyFont="1" applyAlignment="1">
      <alignment vertical="top" wrapText="1"/>
    </xf>
    <xf numFmtId="0" fontId="13" fillId="0" borderId="0" xfId="0" applyFont="1" applyAlignment="1">
      <alignment vertical="top"/>
    </xf>
    <xf numFmtId="0" fontId="0" fillId="0" borderId="48" xfId="0" applyBorder="1" applyAlignment="1">
      <alignment horizontal="center" vertical="center" wrapText="1"/>
    </xf>
    <xf numFmtId="0" fontId="31" fillId="0" borderId="59" xfId="0" applyFont="1" applyBorder="1" applyAlignment="1">
      <alignment horizontal="center" wrapText="1"/>
    </xf>
    <xf numFmtId="0" fontId="73" fillId="0" borderId="0" xfId="0" applyFont="1" applyAlignment="1">
      <alignment horizontal="right" vertical="center"/>
    </xf>
    <xf numFmtId="0" fontId="77" fillId="0" borderId="0" xfId="0" applyFont="1" applyAlignment="1">
      <alignment horizontal="right" vertical="center"/>
    </xf>
    <xf numFmtId="0" fontId="73" fillId="0" borderId="0" xfId="0" applyFont="1" applyAlignment="1">
      <alignment horizontal="left" vertical="center"/>
    </xf>
    <xf numFmtId="0" fontId="77" fillId="0" borderId="0" xfId="0" applyFont="1" applyAlignment="1">
      <alignment horizontal="left" vertical="center"/>
    </xf>
    <xf numFmtId="0" fontId="45" fillId="0" borderId="0" xfId="0" applyFont="1" applyAlignment="1">
      <alignment horizontal="left" vertical="center"/>
    </xf>
    <xf numFmtId="0" fontId="67" fillId="0" borderId="0" xfId="0" applyFont="1" applyAlignment="1">
      <alignment horizontal="left" vertical="center"/>
    </xf>
    <xf numFmtId="0" fontId="5" fillId="0" borderId="0" xfId="0" applyFont="1" applyBorder="1" applyAlignment="1">
      <alignment horizontal="right" vertical="center"/>
    </xf>
    <xf numFmtId="0" fontId="0" fillId="0" borderId="5" xfId="0" applyBorder="1" applyAlignment="1">
      <alignment horizontal="center" vertical="center" wrapText="1"/>
    </xf>
    <xf numFmtId="0" fontId="31" fillId="0" borderId="2"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58" xfId="0" applyFont="1" applyBorder="1" applyAlignment="1">
      <alignment horizontal="center" vertical="center" wrapText="1"/>
    </xf>
    <xf numFmtId="0" fontId="31" fillId="0" borderId="5" xfId="0" applyFont="1" applyBorder="1" applyAlignment="1">
      <alignment horizontal="center" vertical="center" wrapText="1"/>
    </xf>
    <xf numFmtId="0" fontId="45" fillId="0" borderId="0" xfId="0" applyFont="1" applyAlignment="1">
      <alignment horizontal="right" vertical="center"/>
    </xf>
    <xf numFmtId="0" fontId="67" fillId="0" borderId="0" xfId="0" applyFont="1" applyAlignment="1">
      <alignment horizontal="right" vertical="center"/>
    </xf>
    <xf numFmtId="0" fontId="31" fillId="0" borderId="2" xfId="0" applyFont="1" applyBorder="1" applyAlignment="1">
      <alignment horizontal="distributed" wrapText="1"/>
    </xf>
    <xf numFmtId="0" fontId="31" fillId="0" borderId="26" xfId="0" applyFont="1" applyBorder="1" applyAlignment="1">
      <alignment horizontal="distributed" wrapText="1"/>
    </xf>
    <xf numFmtId="0" fontId="42" fillId="0" borderId="0" xfId="0" applyFont="1" applyAlignment="1">
      <alignment horizontal="right" vertical="center"/>
    </xf>
    <xf numFmtId="0" fontId="0" fillId="0" borderId="0" xfId="0" applyAlignment="1">
      <alignment horizontal="right" vertical="center"/>
    </xf>
    <xf numFmtId="0" fontId="42" fillId="0" borderId="0" xfId="0" applyFont="1" applyAlignment="1">
      <alignment horizontal="left" vertical="center"/>
    </xf>
    <xf numFmtId="0" fontId="0" fillId="0" borderId="0" xfId="0" applyAlignment="1">
      <alignment horizontal="left" vertical="center"/>
    </xf>
    <xf numFmtId="0" fontId="7" fillId="0" borderId="0" xfId="0" applyFont="1" applyAlignment="1">
      <alignment horizontal="left" vertical="center"/>
    </xf>
    <xf numFmtId="0" fontId="7" fillId="0" borderId="0" xfId="0" applyFont="1" applyAlignment="1">
      <alignment horizontal="right" vertical="center"/>
    </xf>
    <xf numFmtId="0" fontId="5" fillId="0" borderId="58"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7" xfId="0" applyFont="1" applyFill="1" applyBorder="1" applyAlignment="1">
      <alignment horizontal="center" vertical="center"/>
    </xf>
    <xf numFmtId="0" fontId="13" fillId="0" borderId="64" xfId="0" applyFont="1" applyFill="1" applyBorder="1" applyAlignment="1">
      <alignment horizontal="center" vertical="center"/>
    </xf>
    <xf numFmtId="0" fontId="5" fillId="0" borderId="12" xfId="0" applyFont="1" applyFill="1" applyBorder="1" applyAlignment="1">
      <alignment horizontal="right"/>
    </xf>
    <xf numFmtId="0" fontId="5" fillId="0" borderId="12" xfId="0" applyFont="1" applyFill="1" applyBorder="1" applyAlignment="1"/>
    <xf numFmtId="49" fontId="5" fillId="0" borderId="9" xfId="0" applyNumberFormat="1" applyFont="1" applyFill="1" applyBorder="1" applyAlignment="1">
      <alignment horizontal="center" vertical="center"/>
    </xf>
    <xf numFmtId="49" fontId="5" fillId="0" borderId="34" xfId="0" applyNumberFormat="1" applyFont="1" applyFill="1" applyBorder="1" applyAlignment="1">
      <alignment horizontal="center" vertical="center"/>
    </xf>
    <xf numFmtId="0" fontId="9" fillId="0" borderId="31" xfId="0" applyFont="1" applyFill="1" applyBorder="1" applyAlignment="1">
      <alignment horizontal="center" vertical="center" wrapText="1"/>
    </xf>
    <xf numFmtId="0" fontId="9" fillId="0" borderId="3" xfId="0" applyFont="1" applyFill="1" applyBorder="1" applyAlignment="1">
      <alignment horizontal="center" vertical="center" wrapText="1"/>
    </xf>
    <xf numFmtId="49" fontId="9" fillId="0" borderId="10" xfId="0" applyNumberFormat="1" applyFont="1" applyFill="1" applyBorder="1" applyAlignment="1">
      <alignment horizontal="center" vertical="center"/>
    </xf>
    <xf numFmtId="49" fontId="9" fillId="0" borderId="39" xfId="0" applyNumberFormat="1" applyFont="1" applyFill="1" applyBorder="1" applyAlignment="1">
      <alignment horizontal="center" vertical="center"/>
    </xf>
    <xf numFmtId="0" fontId="5" fillId="0" borderId="58" xfId="0" applyFont="1" applyBorder="1" applyAlignment="1">
      <alignment horizontal="center" vertical="center"/>
    </xf>
    <xf numFmtId="0" fontId="13" fillId="0" borderId="2" xfId="0" applyFont="1" applyBorder="1" applyAlignment="1">
      <alignment horizontal="center" vertical="center"/>
    </xf>
    <xf numFmtId="0" fontId="13" fillId="0" borderId="59" xfId="0" applyFont="1" applyBorder="1" applyAlignment="1">
      <alignment horizontal="center" vertical="center"/>
    </xf>
    <xf numFmtId="0" fontId="5" fillId="0" borderId="12" xfId="0" applyFont="1" applyBorder="1" applyAlignment="1">
      <alignment horizontal="right"/>
    </xf>
    <xf numFmtId="0" fontId="5" fillId="0" borderId="12" xfId="0" applyFont="1" applyBorder="1" applyAlignment="1"/>
    <xf numFmtId="0" fontId="17" fillId="0" borderId="0" xfId="0" applyFont="1" applyAlignment="1"/>
    <xf numFmtId="0" fontId="16" fillId="0" borderId="0" xfId="0" applyFont="1" applyAlignment="1"/>
    <xf numFmtId="0" fontId="19" fillId="0" borderId="0" xfId="0" applyFont="1" applyAlignment="1"/>
    <xf numFmtId="41" fontId="31" fillId="0" borderId="12" xfId="0" applyNumberFormat="1" applyFont="1" applyBorder="1" applyAlignment="1">
      <alignment horizontal="right"/>
    </xf>
    <xf numFmtId="0" fontId="37" fillId="0" borderId="0" xfId="0" applyFont="1" applyAlignment="1">
      <alignment horizontal="right"/>
    </xf>
    <xf numFmtId="0" fontId="73" fillId="0" borderId="0" xfId="0" applyFont="1" applyAlignment="1">
      <alignment horizontal="left"/>
    </xf>
    <xf numFmtId="0" fontId="45" fillId="0" borderId="0" xfId="0" applyFont="1" applyAlignment="1">
      <alignment horizontal="left"/>
    </xf>
    <xf numFmtId="0" fontId="42" fillId="0" borderId="0" xfId="0" applyFont="1" applyAlignment="1">
      <alignment horizontal="left"/>
    </xf>
    <xf numFmtId="0" fontId="45" fillId="0" borderId="0" xfId="0" applyFont="1" applyAlignment="1">
      <alignment horizontal="right"/>
    </xf>
    <xf numFmtId="0" fontId="73" fillId="0" borderId="0" xfId="0" applyFont="1" applyAlignment="1">
      <alignment horizontal="right"/>
    </xf>
    <xf numFmtId="0" fontId="42" fillId="0" borderId="0" xfId="0" applyFont="1" applyAlignment="1">
      <alignment horizontal="right"/>
    </xf>
    <xf numFmtId="0" fontId="5" fillId="0" borderId="14" xfId="0" applyFont="1" applyBorder="1" applyAlignment="1">
      <alignment vertical="top" wrapText="1"/>
    </xf>
    <xf numFmtId="0" fontId="13" fillId="0" borderId="14" xfId="0" applyFont="1" applyBorder="1" applyAlignment="1">
      <alignment vertical="top" wrapText="1"/>
    </xf>
    <xf numFmtId="0" fontId="5" fillId="0" borderId="5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4" xfId="0" applyFont="1" applyBorder="1" applyAlignment="1">
      <alignment horizontal="center" vertical="center" wrapText="1"/>
    </xf>
    <xf numFmtId="0" fontId="7" fillId="0" borderId="0" xfId="0" applyFont="1" applyAlignment="1">
      <alignment horizontal="right"/>
    </xf>
    <xf numFmtId="0" fontId="17" fillId="0" borderId="0" xfId="0" applyFont="1" applyAlignment="1">
      <alignment horizontal="left"/>
    </xf>
    <xf numFmtId="0" fontId="16" fillId="0" borderId="0" xfId="0" applyFont="1" applyAlignment="1">
      <alignment horizontal="right"/>
    </xf>
    <xf numFmtId="0" fontId="16" fillId="0" borderId="0" xfId="0" applyFont="1" applyAlignment="1">
      <alignment horizontal="left"/>
    </xf>
    <xf numFmtId="0" fontId="19" fillId="0" borderId="0" xfId="0" applyFont="1" applyAlignment="1">
      <alignment horizontal="right"/>
    </xf>
    <xf numFmtId="0" fontId="19" fillId="0" borderId="0" xfId="0" applyFont="1" applyAlignment="1">
      <alignment horizontal="left"/>
    </xf>
    <xf numFmtId="0" fontId="17" fillId="0" borderId="0" xfId="0" applyFont="1" applyAlignment="1">
      <alignment horizontal="right"/>
    </xf>
    <xf numFmtId="0" fontId="7" fillId="0" borderId="0" xfId="0" applyFont="1" applyAlignment="1">
      <alignment horizontal="left"/>
    </xf>
    <xf numFmtId="0" fontId="74" fillId="0" borderId="0" xfId="0" applyFont="1" applyAlignment="1">
      <alignment horizontal="center" vertical="center"/>
    </xf>
    <xf numFmtId="0" fontId="43" fillId="0" borderId="0" xfId="0" applyFont="1" applyAlignment="1">
      <alignment horizontal="center" vertical="center"/>
    </xf>
    <xf numFmtId="0" fontId="31" fillId="0" borderId="31" xfId="0" applyFont="1" applyBorder="1" applyAlignment="1">
      <alignment horizontal="center" vertical="center" wrapText="1"/>
    </xf>
    <xf numFmtId="0" fontId="32" fillId="0" borderId="3" xfId="0" applyFont="1" applyBorder="1" applyAlignment="1">
      <alignment horizontal="center" vertical="center"/>
    </xf>
    <xf numFmtId="0" fontId="31" fillId="0" borderId="9" xfId="0" applyFont="1" applyBorder="1" applyAlignment="1">
      <alignment horizontal="center" vertical="center" wrapText="1"/>
    </xf>
    <xf numFmtId="0" fontId="32" fillId="0" borderId="34"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3" fillId="0" borderId="12" xfId="0" applyFont="1" applyBorder="1" applyAlignment="1">
      <alignment horizontal="right" vertical="center"/>
    </xf>
    <xf numFmtId="0" fontId="74" fillId="0" borderId="0" xfId="0" applyFont="1" applyFill="1" applyAlignment="1">
      <alignment horizontal="center" vertical="center"/>
    </xf>
    <xf numFmtId="0" fontId="43" fillId="0" borderId="0" xfId="0" applyFont="1" applyFill="1" applyAlignment="1">
      <alignment horizontal="center" vertical="center"/>
    </xf>
    <xf numFmtId="0" fontId="31" fillId="0" borderId="31" xfId="0" applyFont="1" applyFill="1" applyBorder="1" applyAlignment="1">
      <alignment horizontal="center" vertical="center" wrapText="1"/>
    </xf>
    <xf numFmtId="0" fontId="32" fillId="0" borderId="3" xfId="0" applyFont="1" applyFill="1" applyBorder="1" applyAlignment="1">
      <alignment horizontal="center" vertical="center"/>
    </xf>
    <xf numFmtId="0" fontId="31" fillId="0" borderId="9" xfId="0" applyFont="1" applyFill="1" applyBorder="1" applyAlignment="1">
      <alignment horizontal="center" vertical="center" wrapText="1"/>
    </xf>
    <xf numFmtId="0" fontId="32" fillId="0" borderId="34" xfId="0" applyFont="1" applyFill="1" applyBorder="1" applyAlignment="1">
      <alignment horizontal="center" vertical="center"/>
    </xf>
    <xf numFmtId="0" fontId="31" fillId="0" borderId="31" xfId="0" applyFont="1" applyFill="1" applyBorder="1" applyAlignment="1">
      <alignment horizontal="center" vertical="center"/>
    </xf>
    <xf numFmtId="0" fontId="23" fillId="0" borderId="12" xfId="0" applyFont="1" applyFill="1" applyBorder="1" applyAlignment="1">
      <alignment horizontal="right" vertical="center"/>
    </xf>
    <xf numFmtId="0" fontId="5" fillId="0" borderId="31"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1" xfId="0" applyFont="1" applyBorder="1" applyAlignment="1">
      <alignment horizontal="center" wrapText="1"/>
    </xf>
    <xf numFmtId="0" fontId="5" fillId="0" borderId="54" xfId="0" applyFont="1" applyBorder="1" applyAlignment="1">
      <alignment horizontal="center" wrapText="1"/>
    </xf>
    <xf numFmtId="0" fontId="5" fillId="0" borderId="40" xfId="0" applyFont="1" applyBorder="1" applyAlignment="1">
      <alignment horizontal="center" wrapText="1"/>
    </xf>
    <xf numFmtId="0" fontId="5" fillId="0" borderId="46" xfId="0" applyFont="1" applyBorder="1" applyAlignment="1">
      <alignment horizontal="distributed" vertical="center" wrapText="1"/>
    </xf>
    <xf numFmtId="0" fontId="5" fillId="0" borderId="48" xfId="0" applyFont="1" applyBorder="1" applyAlignment="1">
      <alignment horizontal="distributed" vertical="center" wrapText="1"/>
    </xf>
    <xf numFmtId="0" fontId="5" fillId="0" borderId="0" xfId="0" applyFont="1" applyBorder="1" applyAlignment="1">
      <alignment horizontal="right" vertical="top"/>
    </xf>
    <xf numFmtId="0" fontId="16" fillId="0" borderId="0" xfId="0" applyFont="1" applyAlignment="1">
      <alignment horizontal="center" vertical="top"/>
    </xf>
    <xf numFmtId="0" fontId="53" fillId="0" borderId="0" xfId="0" applyFont="1" applyAlignment="1">
      <alignment horizontal="left" indent="6"/>
    </xf>
    <xf numFmtId="0" fontId="0" fillId="0" borderId="0" xfId="0" applyAlignment="1">
      <alignment horizontal="left" indent="6"/>
    </xf>
    <xf numFmtId="177" fontId="12" fillId="0" borderId="9" xfId="4" applyNumberFormat="1" applyFont="1" applyFill="1" applyBorder="1" applyAlignment="1">
      <alignment horizontal="center" vertical="center"/>
    </xf>
    <xf numFmtId="177" fontId="12" fillId="0" borderId="34" xfId="4" applyNumberFormat="1" applyFont="1" applyFill="1" applyBorder="1" applyAlignment="1">
      <alignment horizontal="center" vertical="center"/>
    </xf>
    <xf numFmtId="177" fontId="19" fillId="0" borderId="0" xfId="4" applyNumberFormat="1" applyFont="1" applyFill="1" applyAlignment="1">
      <alignment horizontal="center" vertical="center"/>
    </xf>
    <xf numFmtId="177" fontId="20" fillId="0" borderId="0" xfId="4" applyNumberFormat="1" applyFont="1" applyFill="1" applyAlignment="1">
      <alignment horizontal="center" vertical="center"/>
    </xf>
    <xf numFmtId="49" fontId="10" fillId="0" borderId="31" xfId="4" applyNumberFormat="1" applyFont="1" applyFill="1" applyBorder="1" applyAlignment="1">
      <alignment horizontal="center" vertical="center"/>
    </xf>
    <xf numFmtId="49" fontId="10" fillId="0" borderId="3" xfId="4" applyNumberFormat="1" applyFont="1" applyFill="1" applyBorder="1" applyAlignment="1">
      <alignment horizontal="center" vertical="center"/>
    </xf>
    <xf numFmtId="177" fontId="10" fillId="0" borderId="31" xfId="4" applyNumberFormat="1" applyFont="1" applyFill="1" applyBorder="1" applyAlignment="1">
      <alignment horizontal="center" vertical="center"/>
    </xf>
    <xf numFmtId="177" fontId="10" fillId="0" borderId="10" xfId="4" applyNumberFormat="1" applyFont="1" applyFill="1" applyBorder="1" applyAlignment="1">
      <alignment horizontal="center" vertical="center"/>
    </xf>
    <xf numFmtId="177" fontId="10" fillId="0" borderId="39" xfId="4" applyNumberFormat="1" applyFont="1" applyFill="1" applyBorder="1" applyAlignment="1">
      <alignment horizontal="center" vertical="center"/>
    </xf>
  </cellXfs>
  <cellStyles count="9">
    <cellStyle name="Header1" xfId="1"/>
    <cellStyle name="Header2" xfId="2"/>
    <cellStyle name="section" xfId="3"/>
    <cellStyle name="一般" xfId="0" builtinId="0"/>
    <cellStyle name="一般_各單位額度表" xfId="8"/>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colors>
    <mruColors>
      <color rgb="FFFFFFCC"/>
      <color rgb="FF0000FF"/>
      <color rgb="FFFFCC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4.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charts/_rels/chart6.xml.rels><?xml version="1.0" encoding="UTF-8" standalone="yes"?>
<Relationships xmlns="http://schemas.openxmlformats.org/package/2006/relationships"><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2083"/>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1934"/>
          <c:y val="0.21600042187582999"/>
          <c:w val="0.59520046500034496"/>
          <c:h val="0.70800138281520086"/>
        </c:manualLayout>
      </c:layout>
      <c:pie3DChart>
        <c:varyColors val="1"/>
        <c:ser>
          <c:idx val="0"/>
          <c:order val="0"/>
          <c:tx>
            <c:strRef>
              <c:f>'13.圖4'!$B$37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'13.圖4'!$C$37</c:f>
              <c:numCache>
                <c:formatCode>_-* #,##0_-;\-* #,##0_-;_-* "-"??_-;_-@_-</c:formatCode>
                <c:ptCount val="1"/>
                <c:pt idx="0">
                  <c:v>174539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607"/>
          <c:y val="0.18811941818604414"/>
          <c:w val="0.59936954678377208"/>
          <c:h val="0.59736166125740064"/>
        </c:manualLayout>
      </c:layout>
      <c:pie3DChart>
        <c:varyColors val="1"/>
        <c:ser>
          <c:idx val="0"/>
          <c:order val="0"/>
          <c:tx>
            <c:strRef>
              <c:f>'13.圖4'!$D$37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427"/>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'13.圖4'!$E$37</c:f>
              <c:numCache>
                <c:formatCode>_-* #,##0_-;\-* #,##0_-;_-* "-"??_-;_-@_-</c:formatCode>
                <c:ptCount val="1"/>
                <c:pt idx="0">
                  <c:v>174539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472"/>
          <c:h val="0.78560370452444084"/>
        </c:manualLayout>
      </c:layout>
      <c:barChart>
        <c:barDir val="col"/>
        <c:grouping val="stacked"/>
        <c:ser>
          <c:idx val="2"/>
          <c:order val="0"/>
          <c:tx>
            <c:strRef>
              <c:f>'14.圖5'!$A$41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'14.圖5'!$B$39:$F$39</c:f>
              <c:strCache>
                <c:ptCount val="5"/>
                <c:pt idx="0">
                  <c:v>103年度決算</c:v>
                </c:pt>
                <c:pt idx="1">
                  <c:v>104年度決算</c:v>
                </c:pt>
                <c:pt idx="2">
                  <c:v>105年度決算</c:v>
                </c:pt>
                <c:pt idx="3">
                  <c:v>106年度預算</c:v>
                </c:pt>
                <c:pt idx="4">
                  <c:v>107年度預算</c:v>
                </c:pt>
              </c:strCache>
            </c:strRef>
          </c:cat>
          <c:val>
            <c:numRef>
              <c:f>'14.圖5'!$B$44:$F$44</c:f>
              <c:numCache>
                <c:formatCode>General</c:formatCode>
                <c:ptCount val="5"/>
                <c:pt idx="0">
                  <c:v>51.604999999999997</c:v>
                </c:pt>
                <c:pt idx="1">
                  <c:v>101.032</c:v>
                </c:pt>
                <c:pt idx="2">
                  <c:v>151.00800000000001</c:v>
                </c:pt>
                <c:pt idx="3">
                  <c:v>120.366</c:v>
                </c:pt>
                <c:pt idx="4">
                  <c:v>174.53899999999999</c:v>
                </c:pt>
              </c:numCache>
            </c:numRef>
          </c:val>
        </c:ser>
        <c:gapWidth val="250"/>
        <c:overlap val="100"/>
        <c:axId val="238629248"/>
        <c:axId val="238630784"/>
      </c:barChart>
      <c:catAx>
        <c:axId val="238629248"/>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238630784"/>
        <c:crosses val="autoZero"/>
        <c:auto val="1"/>
        <c:lblAlgn val="ctr"/>
        <c:lblOffset val="100"/>
        <c:tickLblSkip val="1"/>
        <c:tickMarkSkip val="1"/>
      </c:catAx>
      <c:valAx>
        <c:axId val="238630784"/>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238629248"/>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80333"/>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301611" r="0.74803149606301611"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1.8710834324168046E-2"/>
                  <c:y val="-0.14911923888302075"/>
                </c:manualLayout>
              </c:layout>
              <c:showCatName val="1"/>
              <c:showPercent val="1"/>
            </c:dLbl>
            <c:dLbl>
              <c:idx val="1"/>
              <c:layout>
                <c:manualLayout>
                  <c:x val="2.1161451967395307E-2"/>
                  <c:y val="0.19484458382096378"/>
                </c:manualLayout>
              </c:layout>
              <c:showCatName val="1"/>
              <c:showPercent val="1"/>
            </c:dLbl>
            <c:numFmt formatCode="0.00%" sourceLinked="0"/>
            <c:txPr>
              <a:bodyPr/>
              <a:lstStyle/>
              <a:p>
                <a:pPr>
                  <a:defRPr sz="1075"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'10.圖1'!$B$39:$B$40</c:f>
              <c:strCache>
                <c:ptCount val="2"/>
                <c:pt idx="0">
                  <c:v>機械及設備</c:v>
                </c:pt>
                <c:pt idx="1">
                  <c:v>什項設備</c:v>
                </c:pt>
              </c:strCache>
            </c:strRef>
          </c:cat>
          <c:val>
            <c:numRef>
              <c:f>'10.圖1'!$C$39:$C$40</c:f>
              <c:numCache>
                <c:formatCode>_-* #,##0_-;\-* #,##0_-;_-* "-"??_-;_-@_-</c:formatCode>
                <c:ptCount val="2"/>
                <c:pt idx="0">
                  <c:v>20877</c:v>
                </c:pt>
                <c:pt idx="1">
                  <c:v>2709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3456"/>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49015"/>
        </c:manualLayout>
      </c:layout>
      <c:pie3DChart>
        <c:varyColors val="1"/>
        <c:ser>
          <c:idx val="0"/>
          <c:order val="0"/>
          <c:tx>
            <c:strRef>
              <c:f>'10.圖1'!$D$38</c:f>
              <c:strCache>
                <c:ptCount val="1"/>
                <c:pt idx="0">
                  <c:v>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2537"/>
                  <c:y val="-0.29945808877861874"/>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'10.圖1'!$E$38</c:f>
              <c:numCache>
                <c:formatCode>_-* #,##0_-;\-* #,##0_-;_-* "-"??_-;_-@_-</c:formatCode>
                <c:ptCount val="1"/>
                <c:pt idx="0">
                  <c:v>23586</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1432" r="0.75000000000001432"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5291021955589496"/>
          <c:y val="0.1083631507192367"/>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gradFill>
                <a:gsLst>
                  <a:gs pos="0">
                    <a:srgbClr val="4F81BD">
                      <a:tint val="66000"/>
                      <a:satMod val="160000"/>
                    </a:srgbClr>
                  </a:gs>
                  <a:gs pos="50000">
                    <a:srgbClr val="4F81BD">
                      <a:tint val="44500"/>
                      <a:satMod val="160000"/>
                    </a:srgbClr>
                  </a:gs>
                  <a:gs pos="100000">
                    <a:srgbClr val="4F81BD">
                      <a:tint val="23500"/>
                      <a:satMod val="160000"/>
                    </a:srgbClr>
                  </a:gs>
                </a:gsLst>
                <a:path path="circle">
                  <a:fillToRect l="100000" t="100000"/>
                </a:path>
              </a:grad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1.7513134851138421E-3"/>
                  <c:y val="-0.15675522574066741"/>
                </c:manualLayout>
              </c:layout>
              <c:tx>
                <c:rich>
                  <a:bodyPr/>
                  <a:lstStyle/>
                  <a:p>
                    <a:r>
                      <a:rPr lang="zh-TW" altLang="en-US"/>
                      <a:t>勞務收入
</a:t>
                    </a:r>
                    <a:r>
                      <a:rPr lang="en-US" altLang="zh-TW"/>
                      <a:t>99.26%</a:t>
                    </a:r>
                    <a:endParaRPr lang="zh-TW" altLang="en-US"/>
                  </a:p>
                </c:rich>
              </c:tx>
              <c:showCatName val="1"/>
              <c:showPercent val="1"/>
            </c:dLbl>
            <c:dLbl>
              <c:idx val="1"/>
              <c:layout>
                <c:manualLayout>
                  <c:x val="2.0267247679855049E-2"/>
                  <c:y val="0.20971770615004293"/>
                </c:manualLayout>
              </c:layout>
              <c:tx>
                <c:rich>
                  <a:bodyPr/>
                  <a:lstStyle/>
                  <a:p>
                    <a:r>
                      <a:rPr lang="zh-TW" altLang="en-US"/>
                      <a:t>其他業務收入
</a:t>
                    </a:r>
                    <a:r>
                      <a:rPr lang="en-US" altLang="zh-TW"/>
                      <a:t>0.17%</a:t>
                    </a:r>
                    <a:endParaRPr lang="zh-TW" altLang="en-US"/>
                  </a:p>
                </c:rich>
              </c:tx>
              <c:showCatName val="1"/>
              <c:showPercent val="1"/>
            </c:dLbl>
            <c:dLbl>
              <c:idx val="2"/>
              <c:layout>
                <c:manualLayout>
                  <c:x val="-4.4019103566520036E-2"/>
                  <c:y val="5.3501765516720482E-3"/>
                </c:manualLayout>
              </c:layout>
              <c:tx>
                <c:rich>
                  <a:bodyPr/>
                  <a:lstStyle/>
                  <a:p>
                    <a:r>
                      <a:rPr lang="zh-TW" altLang="en-US"/>
                      <a:t>財務收入
</a:t>
                    </a:r>
                    <a:r>
                      <a:rPr lang="en-US" altLang="zh-TW"/>
                      <a:t>0.26%</a:t>
                    </a:r>
                  </a:p>
                </c:rich>
              </c:tx>
              <c:showCatName val="1"/>
              <c:showPercent val="1"/>
            </c:dLbl>
            <c:dLbl>
              <c:idx val="3"/>
              <c:layout>
                <c:manualLayout>
                  <c:x val="4.0863981319324031E-3"/>
                  <c:y val="-0.34735512377499911"/>
                </c:manualLayout>
              </c:layout>
              <c:tx>
                <c:rich>
                  <a:bodyPr/>
                  <a:lstStyle/>
                  <a:p>
                    <a:r>
                      <a:rPr lang="zh-TW" altLang="en-US"/>
                      <a:t>其他業務外收入
</a:t>
                    </a:r>
                    <a:r>
                      <a:rPr lang="en-US" altLang="zh-TW"/>
                      <a:t>0.31%</a:t>
                    </a:r>
                    <a:endParaRPr lang="zh-TW" altLang="en-US"/>
                  </a:p>
                </c:rich>
              </c:tx>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'11.圖2'!$B$46:$B$49</c:f>
              <c:strCache>
                <c:ptCount val="4"/>
                <c:pt idx="0">
                  <c:v>   勞務收入</c:v>
                </c:pt>
                <c:pt idx="1">
                  <c:v>     其他業務收入</c:v>
                </c:pt>
                <c:pt idx="2">
                  <c:v>   財務收入</c:v>
                </c:pt>
                <c:pt idx="3">
                  <c:v>   其他業務外收入</c:v>
                </c:pt>
              </c:strCache>
            </c:strRef>
          </c:cat>
          <c:val>
            <c:numRef>
              <c:f>'11.圖2'!$C$46:$C$49</c:f>
              <c:numCache>
                <c:formatCode>0.00%</c:formatCode>
                <c:ptCount val="4"/>
                <c:pt idx="0">
                  <c:v>0.99264359796646406</c:v>
                </c:pt>
                <c:pt idx="1">
                  <c:v>1.7075611241625338E-3</c:v>
                </c:pt>
                <c:pt idx="2">
                  <c:v>2.6413593367391333E-3</c:v>
                </c:pt>
                <c:pt idx="3">
                  <c:v>3.1074815726342742E-3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54" r="0.75000000000001454"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7195783860350788"/>
          <c:y val="0.1083631507192367"/>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dpi="0" rotWithShape="1">
                <a:blip xmlns:r="http://schemas.openxmlformats.org/officeDocument/2006/relationships" r:embed="rId2">
                  <a:alphaModFix amt="40000"/>
                </a:blip>
                <a:srcRect/>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3.0372383934694418E-3"/>
                  <c:y val="-0.19757420689056571"/>
                </c:manualLayout>
              </c:layout>
              <c:tx>
                <c:rich>
                  <a:bodyPr/>
                  <a:lstStyle/>
                  <a:p>
                    <a:r>
                      <a:rPr lang="zh-TW" altLang="en-US" baseline="0">
                        <a:latin typeface="標楷體" pitchFamily="65" charset="-120"/>
                      </a:rPr>
                      <a:t>勞務成本
</a:t>
                    </a:r>
                    <a:r>
                      <a:rPr lang="en-US" altLang="zh-TW" baseline="0">
                        <a:latin typeface="標楷體" pitchFamily="65" charset="-120"/>
                      </a:rPr>
                      <a:t>97.69%</a:t>
                    </a:r>
                  </a:p>
                </c:rich>
              </c:tx>
              <c:showCatName val="1"/>
              <c:showPercent val="1"/>
            </c:dLbl>
            <c:dLbl>
              <c:idx val="1"/>
              <c:layout>
                <c:manualLayout>
                  <c:x val="9.1357677876834145E-2"/>
                  <c:y val="0.29218240243334082"/>
                </c:manualLayout>
              </c:layout>
              <c:tx>
                <c:rich>
                  <a:bodyPr/>
                  <a:lstStyle/>
                  <a:p>
                    <a:r>
                      <a:rPr lang="zh-TW" altLang="en-US"/>
                      <a:t>其他業務成本
</a:t>
                    </a:r>
                    <a:r>
                      <a:rPr lang="en-US" altLang="zh-TW"/>
                      <a:t>0.17%</a:t>
                    </a:r>
                  </a:p>
                </c:rich>
              </c:tx>
              <c:showCatName val="1"/>
              <c:showPercent val="1"/>
            </c:dLbl>
            <c:dLbl>
              <c:idx val="2"/>
              <c:layout>
                <c:manualLayout>
                  <c:x val="-1.1194009982750061E-2"/>
                  <c:y val="0.10749531578143114"/>
                </c:manualLayout>
              </c:layout>
              <c:tx>
                <c:rich>
                  <a:bodyPr/>
                  <a:lstStyle/>
                  <a:p>
                    <a:r>
                      <a:rPr lang="zh-TW" altLang="en-US"/>
                      <a:t>其他業務外費用
</a:t>
                    </a:r>
                    <a:r>
                      <a:rPr lang="en-US" altLang="zh-TW"/>
                      <a:t>0.01%</a:t>
                    </a:r>
                  </a:p>
                </c:rich>
              </c:tx>
              <c:showCatName val="1"/>
              <c:showPercent val="1"/>
            </c:dLbl>
            <c:dLbl>
              <c:idx val="3"/>
              <c:layout>
                <c:manualLayout>
                  <c:x val="-1.3832636083133888E-2"/>
                  <c:y val="-0.3837383554949233"/>
                </c:manualLayout>
              </c:layout>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'11.圖2'!$D$46:$D$49</c:f>
              <c:strCache>
                <c:ptCount val="4"/>
                <c:pt idx="0">
                  <c:v>   勞務成本</c:v>
                </c:pt>
                <c:pt idx="1">
                  <c:v>   其他業務成本</c:v>
                </c:pt>
                <c:pt idx="2">
                  <c:v>   其他業務外費用</c:v>
                </c:pt>
                <c:pt idx="3">
                  <c:v>本期賸餘</c:v>
                </c:pt>
              </c:strCache>
            </c:strRef>
          </c:cat>
          <c:val>
            <c:numRef>
              <c:f>'11.圖2'!$E$46:$E$49</c:f>
              <c:numCache>
                <c:formatCode>0.00%</c:formatCode>
                <c:ptCount val="4"/>
                <c:pt idx="0">
                  <c:v>0.97691451939689999</c:v>
                </c:pt>
                <c:pt idx="1">
                  <c:v>1.7075611241625338E-3</c:v>
                </c:pt>
                <c:pt idx="2">
                  <c:v>9.3224447179028223E-5</c:v>
                </c:pt>
                <c:pt idx="3">
                  <c:v>2.1284695031758463E-2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2609"/>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'12.圖3'!$B$35:$F$35</c:f>
              <c:strCache>
                <c:ptCount val="5"/>
                <c:pt idx="0">
                  <c:v>103年度決算</c:v>
                </c:pt>
                <c:pt idx="1">
                  <c:v>104年度決算</c:v>
                </c:pt>
                <c:pt idx="2">
                  <c:v>105年度決算</c:v>
                </c:pt>
                <c:pt idx="3">
                  <c:v>106年度預算</c:v>
                </c:pt>
                <c:pt idx="4">
                  <c:v>107年度預算</c:v>
                </c:pt>
              </c:strCache>
            </c:strRef>
          </c:cat>
          <c:val>
            <c:numRef>
              <c:f>'12.圖3'!$B$46:$F$46</c:f>
              <c:numCache>
                <c:formatCode>_-* #,##0_-;\-* #,##0_-;_-* "-"??_-;_-@_-</c:formatCode>
                <c:ptCount val="5"/>
                <c:pt idx="0">
                  <c:v>656.024</c:v>
                </c:pt>
                <c:pt idx="1">
                  <c:v>642.31700000000001</c:v>
                </c:pt>
                <c:pt idx="2">
                  <c:v>611.34299999999996</c:v>
                </c:pt>
                <c:pt idx="3">
                  <c:v>624.12400000000002</c:v>
                </c:pt>
                <c:pt idx="4">
                  <c:v>643.60799999999995</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'12.圖3'!$B$35:$F$35</c:f>
              <c:strCache>
                <c:ptCount val="5"/>
                <c:pt idx="0">
                  <c:v>103年度決算</c:v>
                </c:pt>
                <c:pt idx="1">
                  <c:v>104年度決算</c:v>
                </c:pt>
                <c:pt idx="2">
                  <c:v>105年度決算</c:v>
                </c:pt>
                <c:pt idx="3">
                  <c:v>106年度預算</c:v>
                </c:pt>
                <c:pt idx="4">
                  <c:v>107年度預算</c:v>
                </c:pt>
              </c:strCache>
            </c:strRef>
          </c:cat>
          <c:val>
            <c:numRef>
              <c:f>'12.圖3'!$B$47:$F$47</c:f>
              <c:numCache>
                <c:formatCode>_-* #,##0_-;\-* #,##0_-;_-* "-"??_-;_-@_-</c:formatCode>
                <c:ptCount val="5"/>
                <c:pt idx="0">
                  <c:v>649.202</c:v>
                </c:pt>
                <c:pt idx="1">
                  <c:v>592.89099999999996</c:v>
                </c:pt>
                <c:pt idx="2">
                  <c:v>561.36599999999999</c:v>
                </c:pt>
                <c:pt idx="3">
                  <c:v>614.29200000000003</c:v>
                </c:pt>
                <c:pt idx="4">
                  <c:v>629.90899999999999</c:v>
                </c:pt>
              </c:numCache>
            </c:numRef>
          </c:val>
        </c:ser>
        <c:gapWidth val="230"/>
        <c:axId val="239571328"/>
        <c:axId val="239572864"/>
      </c:barChart>
      <c:catAx>
        <c:axId val="239571328"/>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239572864"/>
        <c:crosses val="autoZero"/>
        <c:auto val="1"/>
        <c:lblAlgn val="ctr"/>
        <c:lblOffset val="100"/>
        <c:tickLblSkip val="1"/>
        <c:tickMarkSkip val="1"/>
      </c:catAx>
      <c:valAx>
        <c:axId val="239572864"/>
        <c:scaling>
          <c:orientation val="minMax"/>
          <c:min val="0"/>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239571328"/>
        <c:crosses val="autoZero"/>
        <c:crossBetween val="between"/>
      </c:valAx>
      <c:spPr>
        <a:noFill/>
        <a:ln w="3175">
          <a:solidFill>
            <a:srgbClr val="000000"/>
          </a:solidFill>
          <a:prstDash val="solid"/>
        </a:ln>
      </c:spPr>
    </c:plotArea>
    <c:legend>
      <c:legendPos val="r"/>
      <c:layout>
        <c:manualLayout>
          <c:xMode val="edge"/>
          <c:yMode val="edge"/>
          <c:x val="0.41986892138656351"/>
          <c:y val="3.6697050148328435E-2"/>
          <c:w val="0.19905956112852666"/>
          <c:h val="0.11778563015312229"/>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32" r="0.75000000000001432"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41</xdr:row>
      <xdr:rowOff>0</xdr:rowOff>
    </xdr:from>
    <xdr:to>
      <xdr:col>3</xdr:col>
      <xdr:colOff>1914525</xdr:colOff>
      <xdr:row>41</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4</xdr:col>
      <xdr:colOff>1181100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32</xdr:row>
      <xdr:rowOff>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7&#24180;&#21508;&#21934;&#20301;&#26680;&#21015;&#29992;&#36884;&#21029;&#26126;&#3204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概算版業內"/>
      <sheetName val="主計處核定版業內"/>
      <sheetName val="立法院核定版業內"/>
      <sheetName val="概算版業外"/>
      <sheetName val="主計處核定版業外"/>
      <sheetName val="Sheet2"/>
      <sheetName val="Sheet3"/>
    </sheetNames>
    <sheetDataSet>
      <sheetData sheetId="0">
        <row r="2">
          <cell r="B2">
            <v>12000000</v>
          </cell>
          <cell r="C2">
            <v>358000</v>
          </cell>
          <cell r="D2">
            <v>150000</v>
          </cell>
          <cell r="E2">
            <v>11563000</v>
          </cell>
          <cell r="F2">
            <v>2877000</v>
          </cell>
          <cell r="G2">
            <v>3842000</v>
          </cell>
          <cell r="H2">
            <v>3467000</v>
          </cell>
          <cell r="I2">
            <v>780000</v>
          </cell>
          <cell r="J2">
            <v>271000</v>
          </cell>
          <cell r="K2">
            <v>7815000</v>
          </cell>
          <cell r="L2">
            <v>233000</v>
          </cell>
          <cell r="M2">
            <v>900000</v>
          </cell>
          <cell r="N2">
            <v>11842000</v>
          </cell>
          <cell r="O2">
            <v>16777000</v>
          </cell>
          <cell r="P2">
            <v>159000</v>
          </cell>
          <cell r="Q2">
            <v>563000</v>
          </cell>
          <cell r="R2">
            <v>6000</v>
          </cell>
          <cell r="S2">
            <v>130000</v>
          </cell>
          <cell r="T2">
            <v>5652000</v>
          </cell>
          <cell r="U2">
            <v>20984000</v>
          </cell>
          <cell r="V2">
            <v>20724000</v>
          </cell>
          <cell r="W2">
            <v>60985000</v>
          </cell>
          <cell r="X2">
            <v>292000</v>
          </cell>
          <cell r="Y2">
            <v>0</v>
          </cell>
          <cell r="Z2">
            <v>133000</v>
          </cell>
          <cell r="AA2">
            <v>3146000</v>
          </cell>
          <cell r="AB2">
            <v>2400000</v>
          </cell>
          <cell r="AC2">
            <v>673000</v>
          </cell>
          <cell r="AD2">
            <v>339661000</v>
          </cell>
          <cell r="AE2">
            <v>20237000</v>
          </cell>
          <cell r="AF2">
            <v>300000</v>
          </cell>
          <cell r="AG2">
            <v>217000</v>
          </cell>
          <cell r="AH2">
            <v>824000</v>
          </cell>
          <cell r="AI2">
            <v>14912000</v>
          </cell>
          <cell r="AJ2">
            <v>1293000</v>
          </cell>
          <cell r="AK2">
            <v>9487000</v>
          </cell>
          <cell r="AL2">
            <v>6000</v>
          </cell>
          <cell r="AM2">
            <v>855000</v>
          </cell>
          <cell r="AO2">
            <v>2095000</v>
          </cell>
          <cell r="AP2">
            <v>9238000</v>
          </cell>
          <cell r="AQ2">
            <v>46000</v>
          </cell>
          <cell r="AR2">
            <v>4763000</v>
          </cell>
          <cell r="AS2">
            <v>54000</v>
          </cell>
          <cell r="AV2">
            <v>18055000</v>
          </cell>
          <cell r="AW2">
            <v>595000</v>
          </cell>
          <cell r="AX2">
            <v>1344000</v>
          </cell>
          <cell r="BB2">
            <v>20000000</v>
          </cell>
          <cell r="BC2">
            <v>6000</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J36"/>
  <sheetViews>
    <sheetView topLeftCell="A22" workbookViewId="0">
      <selection activeCell="B36" sqref="B36"/>
    </sheetView>
  </sheetViews>
  <sheetFormatPr defaultRowHeight="16.2"/>
  <cols>
    <col min="9" max="9" width="8" customWidth="1"/>
    <col min="10" max="10" width="7.6640625" style="1" customWidth="1"/>
  </cols>
  <sheetData>
    <row r="1" spans="1:10" ht="24.6">
      <c r="A1" s="981" t="s">
        <v>145</v>
      </c>
      <c r="B1" s="981"/>
      <c r="C1" s="981"/>
      <c r="D1" s="981"/>
      <c r="E1" s="981"/>
      <c r="F1" s="981"/>
      <c r="G1" s="981"/>
      <c r="H1" s="981"/>
      <c r="I1" s="981"/>
      <c r="J1" s="981"/>
    </row>
    <row r="2" spans="1:10" ht="22.2">
      <c r="A2" s="982" t="s">
        <v>605</v>
      </c>
      <c r="B2" s="982"/>
      <c r="C2" s="982"/>
      <c r="D2" s="982"/>
      <c r="E2" s="982"/>
      <c r="F2" s="982"/>
      <c r="G2" s="982"/>
      <c r="H2" s="982"/>
      <c r="I2" s="982"/>
      <c r="J2" s="982"/>
    </row>
    <row r="3" spans="1:10" ht="27.75" customHeight="1" thickBot="1">
      <c r="A3" s="983" t="s">
        <v>1148</v>
      </c>
      <c r="B3" s="983"/>
      <c r="C3" s="983"/>
      <c r="D3" s="983"/>
      <c r="E3" s="983"/>
      <c r="F3" s="983"/>
      <c r="G3" s="983"/>
      <c r="H3" s="983"/>
      <c r="I3" s="983"/>
      <c r="J3" s="983"/>
    </row>
    <row r="4" spans="1:10" ht="12.75" customHeight="1">
      <c r="A4" s="183"/>
      <c r="B4" s="772"/>
      <c r="C4" s="772"/>
      <c r="D4" s="772"/>
      <c r="E4" s="772"/>
      <c r="F4" s="772"/>
      <c r="G4" s="772"/>
      <c r="H4" s="772"/>
      <c r="I4" s="772"/>
      <c r="J4" s="188"/>
    </row>
    <row r="5" spans="1:10" ht="21.9" customHeight="1">
      <c r="A5" s="185" t="s">
        <v>606</v>
      </c>
      <c r="B5" s="773"/>
      <c r="C5" s="773"/>
      <c r="D5" s="773"/>
      <c r="E5" s="773"/>
      <c r="F5" s="773"/>
      <c r="G5" s="773"/>
      <c r="H5" s="773"/>
      <c r="I5" s="773"/>
      <c r="J5" s="776" t="s">
        <v>1013</v>
      </c>
    </row>
    <row r="6" spans="1:10" ht="21.9" customHeight="1">
      <c r="A6" s="13" t="s">
        <v>607</v>
      </c>
      <c r="B6" s="10"/>
      <c r="C6" s="10"/>
      <c r="D6" s="10"/>
      <c r="E6" s="10"/>
      <c r="F6" s="10"/>
      <c r="G6" s="10"/>
      <c r="H6" s="10"/>
      <c r="I6" s="10"/>
      <c r="J6" s="329"/>
    </row>
    <row r="7" spans="1:10" ht="21.9" customHeight="1">
      <c r="A7" s="13" t="s">
        <v>608</v>
      </c>
      <c r="B7" s="10"/>
      <c r="C7" s="10"/>
      <c r="D7" s="10"/>
      <c r="E7" s="10"/>
      <c r="F7" s="10"/>
      <c r="G7" s="10"/>
      <c r="H7" s="10"/>
      <c r="I7" s="10"/>
      <c r="J7" s="330"/>
    </row>
    <row r="8" spans="1:10" s="774" customFormat="1" ht="21.9" customHeight="1">
      <c r="A8" s="347" t="s">
        <v>1149</v>
      </c>
      <c r="B8" s="120"/>
      <c r="C8" s="120"/>
      <c r="D8" s="120"/>
      <c r="E8" s="120"/>
      <c r="F8" s="120"/>
      <c r="G8" s="120"/>
      <c r="H8" s="120"/>
      <c r="I8" s="120"/>
      <c r="J8" s="777" t="s">
        <v>996</v>
      </c>
    </row>
    <row r="9" spans="1:10" s="774" customFormat="1" ht="21.9" customHeight="1">
      <c r="A9" s="348" t="s">
        <v>703</v>
      </c>
      <c r="B9" s="10"/>
      <c r="C9" s="10"/>
      <c r="D9" s="10"/>
      <c r="E9" s="10"/>
      <c r="F9" s="10"/>
      <c r="G9" s="10"/>
      <c r="H9" s="10"/>
      <c r="I9" s="10"/>
      <c r="J9" s="778">
        <v>17</v>
      </c>
    </row>
    <row r="10" spans="1:10" s="774" customFormat="1" ht="21.9" customHeight="1">
      <c r="A10" s="348" t="s">
        <v>704</v>
      </c>
      <c r="B10" s="10"/>
      <c r="C10" s="10"/>
      <c r="D10" s="10"/>
      <c r="E10" s="10"/>
      <c r="F10" s="10"/>
      <c r="G10" s="10"/>
      <c r="H10" s="10"/>
      <c r="I10" s="10"/>
      <c r="J10" s="778">
        <v>18</v>
      </c>
    </row>
    <row r="11" spans="1:10" ht="21.9" customHeight="1">
      <c r="A11" s="13" t="s">
        <v>997</v>
      </c>
      <c r="B11" s="10"/>
      <c r="C11" s="10"/>
      <c r="D11" s="10"/>
      <c r="E11" s="10"/>
      <c r="F11" s="10"/>
      <c r="G11" s="10"/>
      <c r="H11" s="10"/>
      <c r="I11" s="10"/>
      <c r="J11" s="330" t="s">
        <v>125</v>
      </c>
    </row>
    <row r="12" spans="1:10" s="774" customFormat="1" ht="21.9" customHeight="1">
      <c r="A12" s="348" t="s">
        <v>609</v>
      </c>
      <c r="B12" s="10"/>
      <c r="C12" s="10"/>
      <c r="D12" s="10"/>
      <c r="E12" s="10"/>
      <c r="F12" s="10"/>
      <c r="G12" s="10"/>
      <c r="H12" s="10"/>
      <c r="I12" s="10"/>
      <c r="J12" s="778">
        <v>19</v>
      </c>
    </row>
    <row r="13" spans="1:10" s="774" customFormat="1" ht="21.9" customHeight="1">
      <c r="A13" s="349" t="s">
        <v>998</v>
      </c>
      <c r="B13" s="10"/>
      <c r="C13" s="10"/>
      <c r="D13" s="10"/>
      <c r="E13" s="10"/>
      <c r="F13" s="10"/>
      <c r="G13" s="10"/>
      <c r="H13" s="10"/>
      <c r="I13" s="10"/>
      <c r="J13" s="778">
        <v>20</v>
      </c>
    </row>
    <row r="14" spans="1:10" s="774" customFormat="1" ht="21.9" customHeight="1">
      <c r="A14" s="349" t="s">
        <v>999</v>
      </c>
      <c r="B14" s="10"/>
      <c r="C14" s="10"/>
      <c r="D14" s="10"/>
      <c r="E14" s="10"/>
      <c r="F14" s="10"/>
      <c r="G14" s="10"/>
      <c r="H14" s="10"/>
      <c r="I14" s="10"/>
      <c r="J14" s="778">
        <v>21</v>
      </c>
    </row>
    <row r="15" spans="1:10" s="774" customFormat="1" ht="21.9" customHeight="1">
      <c r="A15" s="349" t="s">
        <v>1000</v>
      </c>
      <c r="B15" s="10"/>
      <c r="C15" s="10"/>
      <c r="D15" s="10"/>
      <c r="E15" s="10"/>
      <c r="F15" s="10"/>
      <c r="G15" s="10"/>
      <c r="H15" s="10"/>
      <c r="I15" s="10"/>
      <c r="J15" s="778">
        <v>22</v>
      </c>
    </row>
    <row r="16" spans="1:10" s="774" customFormat="1" ht="21.9" customHeight="1">
      <c r="A16" s="348" t="s">
        <v>1001</v>
      </c>
      <c r="B16" s="10"/>
      <c r="C16" s="10"/>
      <c r="D16" s="10"/>
      <c r="E16" s="10"/>
      <c r="F16" s="10"/>
      <c r="G16" s="10"/>
      <c r="H16" s="10"/>
      <c r="I16" s="10"/>
      <c r="J16" s="778" t="s">
        <v>1140</v>
      </c>
    </row>
    <row r="17" spans="1:10" s="774" customFormat="1" ht="21.9" customHeight="1">
      <c r="A17" s="348" t="s">
        <v>1002</v>
      </c>
      <c r="B17" s="10"/>
      <c r="C17" s="10"/>
      <c r="D17" s="10"/>
      <c r="E17" s="10"/>
      <c r="F17" s="10"/>
      <c r="G17" s="10"/>
      <c r="H17" s="10"/>
      <c r="I17" s="10"/>
      <c r="J17" s="778" t="s">
        <v>1141</v>
      </c>
    </row>
    <row r="18" spans="1:10" s="774" customFormat="1" ht="21.9" customHeight="1">
      <c r="A18" s="348" t="s">
        <v>1003</v>
      </c>
      <c r="B18" s="10"/>
      <c r="C18" s="10"/>
      <c r="D18" s="10"/>
      <c r="E18" s="10"/>
      <c r="F18" s="10"/>
      <c r="G18" s="10"/>
      <c r="H18" s="10"/>
      <c r="I18" s="10"/>
      <c r="J18" s="778" t="s">
        <v>1142</v>
      </c>
    </row>
    <row r="19" spans="1:10" s="774" customFormat="1" ht="21.9" customHeight="1">
      <c r="A19" s="348" t="s">
        <v>1004</v>
      </c>
      <c r="B19" s="10"/>
      <c r="C19" s="10"/>
      <c r="D19" s="10"/>
      <c r="E19" s="10"/>
      <c r="F19" s="10"/>
      <c r="G19" s="10"/>
      <c r="H19" s="10"/>
      <c r="I19" s="10"/>
      <c r="J19" s="778">
        <v>30</v>
      </c>
    </row>
    <row r="20" spans="1:10" s="774" customFormat="1" ht="21.9" customHeight="1">
      <c r="A20" s="348" t="s">
        <v>1005</v>
      </c>
      <c r="B20" s="10"/>
      <c r="C20" s="10"/>
      <c r="D20" s="10"/>
      <c r="E20" s="10"/>
      <c r="F20" s="10"/>
      <c r="G20" s="10"/>
      <c r="H20" s="10"/>
      <c r="I20" s="10"/>
      <c r="J20" s="778">
        <v>31</v>
      </c>
    </row>
    <row r="21" spans="1:10" s="774" customFormat="1" ht="21.9" customHeight="1">
      <c r="A21" s="348" t="s">
        <v>1006</v>
      </c>
      <c r="B21" s="10"/>
      <c r="C21" s="10"/>
      <c r="D21" s="10"/>
      <c r="E21" s="10"/>
      <c r="F21" s="10"/>
      <c r="G21" s="10"/>
      <c r="H21" s="10"/>
      <c r="I21" s="10"/>
      <c r="J21" s="778" t="s">
        <v>1143</v>
      </c>
    </row>
    <row r="22" spans="1:10" s="774" customFormat="1" ht="21.9" customHeight="1">
      <c r="A22" s="348" t="s">
        <v>1007</v>
      </c>
      <c r="B22" s="10"/>
      <c r="C22" s="10"/>
      <c r="D22" s="10"/>
      <c r="E22" s="10"/>
      <c r="F22" s="10"/>
      <c r="G22" s="10"/>
      <c r="H22" s="10"/>
      <c r="I22" s="10"/>
      <c r="J22" s="778">
        <v>34</v>
      </c>
    </row>
    <row r="23" spans="1:10" s="774" customFormat="1" ht="21.9" customHeight="1">
      <c r="A23" s="348" t="s">
        <v>1008</v>
      </c>
      <c r="B23" s="10"/>
      <c r="C23" s="10"/>
      <c r="D23" s="10"/>
      <c r="E23" s="10"/>
      <c r="F23" s="10"/>
      <c r="G23" s="10"/>
      <c r="H23" s="10"/>
      <c r="I23" s="10"/>
      <c r="J23" s="778">
        <v>35</v>
      </c>
    </row>
    <row r="24" spans="1:10" ht="21.9" customHeight="1">
      <c r="A24" s="13" t="s">
        <v>610</v>
      </c>
      <c r="B24" s="10"/>
      <c r="C24" s="10"/>
      <c r="D24" s="10"/>
      <c r="E24" s="10"/>
      <c r="F24" s="10"/>
      <c r="G24" s="10"/>
      <c r="H24" s="10"/>
      <c r="I24" s="10"/>
      <c r="J24" s="330"/>
    </row>
    <row r="25" spans="1:10" s="774" customFormat="1" ht="21.9" customHeight="1">
      <c r="A25" s="347" t="s">
        <v>650</v>
      </c>
      <c r="B25" s="120"/>
      <c r="C25" s="120"/>
      <c r="D25" s="120"/>
      <c r="E25" s="120"/>
      <c r="F25" s="120"/>
      <c r="G25" s="120"/>
      <c r="H25" s="120"/>
      <c r="I25" s="120"/>
      <c r="J25" s="778">
        <v>37</v>
      </c>
    </row>
    <row r="26" spans="1:10" s="774" customFormat="1" ht="21.9" customHeight="1">
      <c r="A26" s="348" t="s">
        <v>1009</v>
      </c>
      <c r="B26" s="10"/>
      <c r="C26" s="10"/>
      <c r="D26" s="10"/>
      <c r="E26" s="10"/>
      <c r="F26" s="10"/>
      <c r="G26" s="10"/>
      <c r="H26" s="10"/>
      <c r="I26" s="10"/>
      <c r="J26" s="778">
        <v>38</v>
      </c>
    </row>
    <row r="27" spans="1:10" s="774" customFormat="1" ht="21.9" customHeight="1">
      <c r="A27" s="348" t="s">
        <v>1010</v>
      </c>
      <c r="B27" s="10"/>
      <c r="C27" s="10"/>
      <c r="D27" s="10"/>
      <c r="E27" s="10"/>
      <c r="F27" s="10"/>
      <c r="G27" s="10"/>
      <c r="H27" s="10"/>
      <c r="I27" s="10"/>
      <c r="J27" s="778">
        <v>39</v>
      </c>
    </row>
    <row r="28" spans="1:10" s="774" customFormat="1" ht="21.9" customHeight="1">
      <c r="A28" s="348" t="s">
        <v>760</v>
      </c>
      <c r="B28" s="10"/>
      <c r="C28" s="10"/>
      <c r="D28" s="10"/>
      <c r="E28" s="10"/>
      <c r="F28" s="10"/>
      <c r="G28" s="10"/>
      <c r="H28" s="10"/>
      <c r="I28" s="10"/>
      <c r="J28" s="778" t="s">
        <v>1144</v>
      </c>
    </row>
    <row r="29" spans="1:10" s="774" customFormat="1" ht="21.9" customHeight="1">
      <c r="A29" s="350" t="s">
        <v>1011</v>
      </c>
      <c r="B29" s="10"/>
      <c r="C29" s="10"/>
      <c r="D29" s="10"/>
      <c r="E29" s="10"/>
      <c r="F29" s="10"/>
      <c r="G29" s="10"/>
      <c r="H29" s="10"/>
      <c r="I29" s="10"/>
      <c r="J29" s="778">
        <v>42</v>
      </c>
    </row>
    <row r="30" spans="1:10" ht="21.9" customHeight="1">
      <c r="A30" s="13" t="s">
        <v>611</v>
      </c>
      <c r="B30" s="10"/>
      <c r="C30" s="10"/>
      <c r="D30" s="10"/>
      <c r="E30" s="10"/>
      <c r="F30" s="10"/>
      <c r="G30" s="10"/>
      <c r="H30" s="10"/>
      <c r="I30" s="10"/>
      <c r="J30" s="330"/>
    </row>
    <row r="31" spans="1:10" s="774" customFormat="1" ht="21.75" customHeight="1">
      <c r="A31" s="348" t="s">
        <v>651</v>
      </c>
      <c r="B31" s="10"/>
      <c r="C31" s="10"/>
      <c r="D31" s="10"/>
      <c r="E31" s="10"/>
      <c r="F31" s="10"/>
      <c r="G31" s="10"/>
      <c r="H31" s="10"/>
      <c r="I31" s="10"/>
      <c r="J31" s="330"/>
    </row>
    <row r="32" spans="1:10" s="774" customFormat="1" ht="19.8">
      <c r="A32" s="348" t="s">
        <v>1012</v>
      </c>
      <c r="B32" s="775"/>
      <c r="C32" s="775"/>
      <c r="D32" s="775"/>
      <c r="E32" s="775"/>
      <c r="F32" s="775"/>
      <c r="G32" s="775"/>
      <c r="H32" s="775"/>
      <c r="I32" s="775"/>
      <c r="J32" s="778">
        <v>43</v>
      </c>
    </row>
    <row r="33" spans="1:10" s="774" customFormat="1" ht="19.8">
      <c r="A33" s="348"/>
      <c r="B33" s="775"/>
      <c r="C33" s="775"/>
      <c r="D33" s="775"/>
      <c r="E33" s="775"/>
      <c r="F33" s="775"/>
      <c r="G33" s="775"/>
      <c r="H33" s="775"/>
      <c r="I33" s="775"/>
      <c r="J33" s="330"/>
    </row>
    <row r="34" spans="1:10" s="774" customFormat="1" ht="19.8">
      <c r="A34" s="348"/>
      <c r="B34" s="775"/>
      <c r="C34" s="775"/>
      <c r="D34" s="775"/>
      <c r="E34" s="775"/>
      <c r="F34" s="775"/>
      <c r="G34" s="775"/>
      <c r="H34" s="775"/>
      <c r="I34" s="775"/>
      <c r="J34" s="330"/>
    </row>
    <row r="35" spans="1:10" s="774" customFormat="1" ht="19.8">
      <c r="A35" s="348"/>
      <c r="B35" s="775"/>
      <c r="C35" s="775"/>
      <c r="D35" s="775"/>
      <c r="E35" s="775"/>
      <c r="F35" s="775"/>
      <c r="G35" s="775"/>
      <c r="H35" s="775"/>
      <c r="I35" s="775"/>
      <c r="J35" s="330"/>
    </row>
    <row r="36" spans="1:10" ht="13.8" customHeight="1" thickBot="1">
      <c r="A36" s="186"/>
      <c r="B36" s="187"/>
      <c r="C36" s="187"/>
      <c r="D36" s="187"/>
      <c r="E36" s="187"/>
      <c r="F36" s="187"/>
      <c r="G36" s="187"/>
      <c r="H36" s="187"/>
      <c r="I36" s="187"/>
      <c r="J36" s="18"/>
    </row>
  </sheetData>
  <mergeCells count="3">
    <mergeCell ref="A1:J1"/>
    <mergeCell ref="A2:J2"/>
    <mergeCell ref="A3:J3"/>
  </mergeCells>
  <phoneticPr fontId="14" type="noConversion"/>
  <printOptions horizontalCentered="1"/>
  <pageMargins left="0.6692913385826772" right="0.6692913385826772" top="0.59055118110236227" bottom="0.78740157480314965" header="0.47244094488188981" footer="0.51181102362204722"/>
  <pageSetup paperSize="9" orientation="portrait" blackAndWhite="1"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1">
    <tabColor rgb="FFFFFFCC"/>
  </sheetPr>
  <dimension ref="A1:K33"/>
  <sheetViews>
    <sheetView view="pageBreakPreview" topLeftCell="A10" zoomScale="80" zoomScaleNormal="100" zoomScaleSheetLayoutView="80" workbookViewId="0">
      <selection activeCell="B17" sqref="B17:K17"/>
    </sheetView>
  </sheetViews>
  <sheetFormatPr defaultColWidth="9" defaultRowHeight="16.2"/>
  <cols>
    <col min="1" max="2" width="2.88671875" style="41" customWidth="1"/>
    <col min="3" max="3" width="11.33203125" style="41" customWidth="1"/>
    <col min="4" max="10" width="9" style="41"/>
    <col min="11" max="11" width="7.109375" style="41" customWidth="1"/>
    <col min="12" max="16384" width="9" style="41"/>
  </cols>
  <sheetData>
    <row r="1" spans="1:11" ht="24.6">
      <c r="A1" s="1023" t="s">
        <v>223</v>
      </c>
      <c r="B1" s="1024"/>
      <c r="C1" s="1024"/>
      <c r="D1" s="1024"/>
      <c r="E1" s="1024"/>
      <c r="F1" s="1024"/>
      <c r="G1" s="1024"/>
      <c r="H1" s="1024"/>
      <c r="I1" s="1024"/>
      <c r="J1" s="1024"/>
      <c r="K1" s="1024"/>
    </row>
    <row r="2" spans="1:11" ht="22.2">
      <c r="A2" s="1034" t="s">
        <v>76</v>
      </c>
      <c r="B2" s="1035"/>
      <c r="C2" s="1035"/>
      <c r="D2" s="1035"/>
      <c r="E2" s="1035"/>
      <c r="F2" s="1035"/>
      <c r="G2" s="1035"/>
      <c r="H2" s="1035"/>
      <c r="I2" s="1035"/>
      <c r="J2" s="1035"/>
      <c r="K2" s="1035"/>
    </row>
    <row r="3" spans="1:11" ht="22.2">
      <c r="A3" s="1033" t="s">
        <v>993</v>
      </c>
      <c r="B3" s="1032"/>
      <c r="C3" s="1032"/>
      <c r="D3" s="1032"/>
      <c r="E3" s="1032"/>
      <c r="F3" s="1032"/>
      <c r="G3" s="1032"/>
      <c r="H3" s="1032"/>
      <c r="I3" s="1032"/>
      <c r="J3" s="1032"/>
      <c r="K3" s="1032"/>
    </row>
    <row r="4" spans="1:11" s="268" customFormat="1" ht="19.8">
      <c r="A4" s="1031" t="s">
        <v>1055</v>
      </c>
      <c r="B4" s="1032"/>
      <c r="C4" s="1032"/>
      <c r="D4" s="1032"/>
      <c r="E4" s="1032"/>
      <c r="F4" s="1032"/>
      <c r="G4" s="1032"/>
      <c r="H4" s="1032"/>
      <c r="I4" s="1032"/>
      <c r="J4" s="1032"/>
      <c r="K4" s="1032"/>
    </row>
    <row r="5" spans="1:11" ht="17.25" customHeight="1" thickBot="1">
      <c r="B5" s="266"/>
      <c r="C5" s="267"/>
      <c r="D5" s="267"/>
      <c r="E5" s="267"/>
      <c r="F5" s="267"/>
      <c r="G5" s="267"/>
      <c r="H5" s="267"/>
      <c r="I5" s="267"/>
      <c r="J5" s="267"/>
      <c r="K5" s="265"/>
    </row>
    <row r="6" spans="1:11" s="460" customFormat="1" ht="30" customHeight="1">
      <c r="A6" s="688"/>
      <c r="B6" s="1038" t="s">
        <v>1029</v>
      </c>
      <c r="C6" s="1038"/>
      <c r="D6" s="1038"/>
      <c r="E6" s="1038"/>
      <c r="F6" s="1038"/>
      <c r="G6" s="1038"/>
      <c r="H6" s="1038"/>
      <c r="I6" s="1038"/>
      <c r="J6" s="1038"/>
      <c r="K6" s="1039"/>
    </row>
    <row r="7" spans="1:11" s="460" customFormat="1" ht="30" customHeight="1">
      <c r="A7" s="687"/>
      <c r="B7" s="1027" t="s">
        <v>1050</v>
      </c>
      <c r="C7" s="1027"/>
      <c r="D7" s="1027"/>
      <c r="E7" s="1027"/>
      <c r="F7" s="1027"/>
      <c r="G7" s="1027"/>
      <c r="H7" s="1027"/>
      <c r="I7" s="1027"/>
      <c r="J7" s="1027"/>
      <c r="K7" s="1028"/>
    </row>
    <row r="8" spans="1:11" s="460" customFormat="1" ht="30" customHeight="1">
      <c r="A8" s="687"/>
      <c r="B8" s="1036" t="s">
        <v>1051</v>
      </c>
      <c r="C8" s="1036"/>
      <c r="D8" s="1036"/>
      <c r="E8" s="1036"/>
      <c r="F8" s="1036"/>
      <c r="G8" s="1036"/>
      <c r="H8" s="1036"/>
      <c r="I8" s="1036"/>
      <c r="J8" s="1036"/>
      <c r="K8" s="1037"/>
    </row>
    <row r="9" spans="1:11" s="686" customFormat="1" ht="30" customHeight="1">
      <c r="A9" s="685"/>
      <c r="B9" s="1036" t="s">
        <v>1052</v>
      </c>
      <c r="C9" s="1036"/>
      <c r="D9" s="1036"/>
      <c r="E9" s="1036"/>
      <c r="F9" s="1036"/>
      <c r="G9" s="1036"/>
      <c r="H9" s="1036"/>
      <c r="I9" s="1036"/>
      <c r="J9" s="1036"/>
      <c r="K9" s="1037"/>
    </row>
    <row r="10" spans="1:11" s="460" customFormat="1" ht="25.05" customHeight="1">
      <c r="A10" s="687"/>
      <c r="B10" s="1027" t="s">
        <v>1095</v>
      </c>
      <c r="C10" s="1027"/>
      <c r="D10" s="1027"/>
      <c r="E10" s="1027"/>
      <c r="F10" s="1027"/>
      <c r="G10" s="1027"/>
      <c r="H10" s="1027"/>
      <c r="I10" s="1027"/>
      <c r="J10" s="1027"/>
      <c r="K10" s="1028"/>
    </row>
    <row r="11" spans="1:11" s="460" customFormat="1" ht="30" customHeight="1">
      <c r="A11" s="687"/>
      <c r="B11" s="1019" t="s">
        <v>1094</v>
      </c>
      <c r="C11" s="1019"/>
      <c r="D11" s="1019"/>
      <c r="E11" s="1019"/>
      <c r="F11" s="1019"/>
      <c r="G11" s="1019"/>
      <c r="H11" s="1019"/>
      <c r="I11" s="1019"/>
      <c r="J11" s="1019"/>
      <c r="K11" s="1020"/>
    </row>
    <row r="12" spans="1:11" s="686" customFormat="1" ht="35.1" customHeight="1">
      <c r="A12" s="685"/>
      <c r="B12" s="1019" t="s">
        <v>1053</v>
      </c>
      <c r="C12" s="1019"/>
      <c r="D12" s="1019"/>
      <c r="E12" s="1019"/>
      <c r="F12" s="1019"/>
      <c r="G12" s="1019"/>
      <c r="H12" s="1019"/>
      <c r="I12" s="1019"/>
      <c r="J12" s="1019"/>
      <c r="K12" s="1020"/>
    </row>
    <row r="13" spans="1:11" s="460" customFormat="1" ht="25.05" customHeight="1">
      <c r="A13" s="687"/>
      <c r="B13" s="1025" t="s">
        <v>1096</v>
      </c>
      <c r="C13" s="1025"/>
      <c r="D13" s="1025"/>
      <c r="E13" s="1025"/>
      <c r="F13" s="1025"/>
      <c r="G13" s="1025"/>
      <c r="H13" s="1025"/>
      <c r="I13" s="1025"/>
      <c r="J13" s="1025"/>
      <c r="K13" s="1026"/>
    </row>
    <row r="14" spans="1:11" s="460" customFormat="1" ht="25.05" customHeight="1">
      <c r="A14" s="687"/>
      <c r="B14" s="1029" t="s">
        <v>1105</v>
      </c>
      <c r="C14" s="1029"/>
      <c r="D14" s="1029"/>
      <c r="E14" s="1029"/>
      <c r="F14" s="1029"/>
      <c r="G14" s="1029"/>
      <c r="H14" s="1029"/>
      <c r="I14" s="1029"/>
      <c r="J14" s="1029"/>
      <c r="K14" s="1030"/>
    </row>
    <row r="15" spans="1:11" s="460" customFormat="1" ht="30" customHeight="1">
      <c r="A15" s="687"/>
      <c r="B15" s="1019" t="s">
        <v>1054</v>
      </c>
      <c r="C15" s="1019"/>
      <c r="D15" s="1019"/>
      <c r="E15" s="1019"/>
      <c r="F15" s="1019"/>
      <c r="G15" s="1019"/>
      <c r="H15" s="1019"/>
      <c r="I15" s="1019"/>
      <c r="J15" s="1019"/>
      <c r="K15" s="1020"/>
    </row>
    <row r="16" spans="1:11" s="460" customFormat="1" ht="35.1" customHeight="1">
      <c r="A16" s="687"/>
      <c r="B16" s="1019" t="s">
        <v>1101</v>
      </c>
      <c r="C16" s="1019"/>
      <c r="D16" s="1019"/>
      <c r="E16" s="1019"/>
      <c r="F16" s="1019"/>
      <c r="G16" s="1019"/>
      <c r="H16" s="1019"/>
      <c r="I16" s="1019"/>
      <c r="J16" s="1019"/>
      <c r="K16" s="1020"/>
    </row>
    <row r="17" spans="1:11" s="460" customFormat="1" ht="37.5" customHeight="1">
      <c r="A17" s="687"/>
      <c r="B17" s="1021" t="s">
        <v>1106</v>
      </c>
      <c r="C17" s="1021"/>
      <c r="D17" s="1021"/>
      <c r="E17" s="1021"/>
      <c r="F17" s="1021"/>
      <c r="G17" s="1021"/>
      <c r="H17" s="1021"/>
      <c r="I17" s="1021"/>
      <c r="J17" s="1021"/>
      <c r="K17" s="1022"/>
    </row>
    <row r="18" spans="1:11" s="460" customFormat="1" ht="25.05" customHeight="1">
      <c r="A18" s="687"/>
      <c r="B18" s="913" t="s">
        <v>1097</v>
      </c>
      <c r="C18" s="876"/>
      <c r="D18" s="876"/>
      <c r="E18" s="876"/>
      <c r="F18" s="876"/>
      <c r="G18" s="876"/>
      <c r="H18" s="876"/>
      <c r="I18" s="876"/>
      <c r="J18" s="876"/>
      <c r="K18" s="877"/>
    </row>
    <row r="19" spans="1:11" s="460" customFormat="1" ht="30" customHeight="1">
      <c r="A19" s="687"/>
      <c r="B19" s="1017" t="s">
        <v>1030</v>
      </c>
      <c r="C19" s="1017"/>
      <c r="D19" s="1017"/>
      <c r="E19" s="1017"/>
      <c r="F19" s="1017"/>
      <c r="G19" s="1017"/>
      <c r="H19" s="1017"/>
      <c r="I19" s="1017"/>
      <c r="J19" s="1017"/>
      <c r="K19" s="1018"/>
    </row>
    <row r="20" spans="1:11" ht="25.05" customHeight="1">
      <c r="A20" s="93"/>
      <c r="B20" s="265"/>
      <c r="C20" s="265"/>
      <c r="D20" s="265"/>
      <c r="E20" s="265"/>
      <c r="F20" s="265"/>
      <c r="G20" s="265"/>
      <c r="H20" s="265"/>
      <c r="I20" s="265"/>
      <c r="J20" s="265"/>
      <c r="K20" s="351"/>
    </row>
    <row r="21" spans="1:11">
      <c r="A21" s="93"/>
      <c r="B21" s="92"/>
      <c r="C21" s="92"/>
      <c r="D21" s="92"/>
      <c r="E21" s="92"/>
      <c r="F21" s="92"/>
      <c r="G21" s="92"/>
      <c r="H21" s="92"/>
      <c r="I21" s="92"/>
      <c r="J21" s="92"/>
      <c r="K21" s="98"/>
    </row>
    <row r="22" spans="1:11">
      <c r="A22" s="93"/>
      <c r="B22" s="92"/>
      <c r="C22" s="92"/>
      <c r="D22" s="92"/>
      <c r="E22" s="92"/>
      <c r="F22" s="92"/>
      <c r="G22" s="92"/>
      <c r="H22" s="92"/>
      <c r="I22" s="92"/>
      <c r="J22" s="92"/>
      <c r="K22" s="98"/>
    </row>
    <row r="23" spans="1:11">
      <c r="A23" s="93"/>
      <c r="B23" s="92"/>
      <c r="C23" s="92"/>
      <c r="D23" s="92"/>
      <c r="E23" s="92"/>
      <c r="F23" s="92"/>
      <c r="G23" s="92"/>
      <c r="H23" s="92"/>
      <c r="I23" s="92"/>
      <c r="J23" s="92"/>
      <c r="K23" s="98"/>
    </row>
    <row r="24" spans="1:11">
      <c r="A24" s="93"/>
      <c r="B24" s="92"/>
      <c r="C24" s="92"/>
      <c r="D24" s="92"/>
      <c r="E24" s="92"/>
      <c r="F24" s="92"/>
      <c r="G24" s="92"/>
      <c r="H24" s="92"/>
      <c r="I24" s="92"/>
      <c r="J24" s="92"/>
      <c r="K24" s="98"/>
    </row>
    <row r="25" spans="1:11">
      <c r="A25" s="93"/>
      <c r="B25" s="92"/>
      <c r="C25" s="92"/>
      <c r="D25" s="92"/>
      <c r="E25" s="92"/>
      <c r="F25" s="92"/>
      <c r="G25" s="92"/>
      <c r="H25" s="92"/>
      <c r="I25" s="92"/>
      <c r="J25" s="92"/>
      <c r="K25" s="98"/>
    </row>
    <row r="26" spans="1:11">
      <c r="A26" s="93"/>
      <c r="B26" s="92"/>
      <c r="C26" s="92"/>
      <c r="D26" s="92"/>
      <c r="E26" s="92"/>
      <c r="F26" s="92"/>
      <c r="G26" s="92"/>
      <c r="H26" s="92"/>
      <c r="I26" s="92"/>
      <c r="J26" s="92"/>
      <c r="K26" s="98"/>
    </row>
    <row r="27" spans="1:11">
      <c r="A27" s="93"/>
      <c r="B27" s="92"/>
      <c r="C27" s="92"/>
      <c r="D27" s="92"/>
      <c r="E27" s="92"/>
      <c r="F27" s="92"/>
      <c r="G27" s="92"/>
      <c r="H27" s="92"/>
      <c r="I27" s="92"/>
      <c r="J27" s="92"/>
      <c r="K27" s="98"/>
    </row>
    <row r="28" spans="1:11">
      <c r="A28" s="93"/>
      <c r="B28" s="92"/>
      <c r="C28" s="92"/>
      <c r="D28" s="92"/>
      <c r="E28" s="92"/>
      <c r="F28" s="92"/>
      <c r="G28" s="92"/>
      <c r="H28" s="92"/>
      <c r="I28" s="92"/>
      <c r="J28" s="92"/>
      <c r="K28" s="98"/>
    </row>
    <row r="29" spans="1:11">
      <c r="A29" s="93"/>
      <c r="B29" s="92"/>
      <c r="C29" s="92"/>
      <c r="D29" s="92"/>
      <c r="E29" s="92"/>
      <c r="F29" s="92"/>
      <c r="G29" s="92"/>
      <c r="H29" s="92"/>
      <c r="I29" s="92"/>
      <c r="J29" s="92"/>
      <c r="K29" s="98"/>
    </row>
    <row r="30" spans="1:11">
      <c r="A30" s="93"/>
      <c r="B30" s="92"/>
      <c r="C30" s="92"/>
      <c r="D30" s="92"/>
      <c r="E30" s="92"/>
      <c r="F30" s="92"/>
      <c r="G30" s="92"/>
      <c r="H30" s="92"/>
      <c r="I30" s="92"/>
      <c r="J30" s="92"/>
      <c r="K30" s="98"/>
    </row>
    <row r="31" spans="1:11">
      <c r="A31" s="93"/>
      <c r="B31" s="92"/>
      <c r="C31" s="92"/>
      <c r="D31" s="92"/>
      <c r="E31" s="92"/>
      <c r="F31" s="92"/>
      <c r="G31" s="92"/>
      <c r="H31" s="92"/>
      <c r="I31" s="92"/>
      <c r="J31" s="92"/>
      <c r="K31" s="98"/>
    </row>
    <row r="32" spans="1:11">
      <c r="A32" s="93"/>
      <c r="B32" s="92"/>
      <c r="C32" s="92"/>
      <c r="D32" s="92"/>
      <c r="E32" s="92"/>
      <c r="F32" s="92"/>
      <c r="G32" s="92"/>
      <c r="H32" s="92"/>
      <c r="I32" s="92"/>
      <c r="J32" s="92"/>
      <c r="K32" s="98"/>
    </row>
    <row r="33" spans="1:11" ht="14.4" customHeight="1" thickBot="1">
      <c r="A33" s="104"/>
      <c r="B33" s="105"/>
      <c r="C33" s="105"/>
      <c r="D33" s="105"/>
      <c r="E33" s="105"/>
      <c r="F33" s="105"/>
      <c r="G33" s="105"/>
      <c r="H33" s="105"/>
      <c r="I33" s="105"/>
      <c r="J33" s="105"/>
      <c r="K33" s="106"/>
    </row>
  </sheetData>
  <mergeCells count="17">
    <mergeCell ref="B6:K6"/>
    <mergeCell ref="B19:K19"/>
    <mergeCell ref="B15:K15"/>
    <mergeCell ref="B16:K16"/>
    <mergeCell ref="B17:K17"/>
    <mergeCell ref="A1:K1"/>
    <mergeCell ref="B13:K13"/>
    <mergeCell ref="B10:K10"/>
    <mergeCell ref="B7:K7"/>
    <mergeCell ref="B14:K14"/>
    <mergeCell ref="A4:K4"/>
    <mergeCell ref="A3:K3"/>
    <mergeCell ref="A2:K2"/>
    <mergeCell ref="B8:K8"/>
    <mergeCell ref="B9:K9"/>
    <mergeCell ref="B11:K11"/>
    <mergeCell ref="B12:K12"/>
  </mergeCells>
  <phoneticPr fontId="14" type="noConversion"/>
  <printOptions horizontalCentered="1"/>
  <pageMargins left="0.6692913385826772" right="0.6692913385826772" top="0.59055118110236227" bottom="0.78740157480314965" header="0.51181102362204722" footer="0.51181102362204722"/>
  <pageSetup paperSize="9" firstPageNumber="16" orientation="portrait" useFirstPageNumber="1" r:id="rId1"/>
  <headerFooter scaleWithDoc="0" alignWithMargins="0">
    <oddFooter>&amp;C&amp;"Arial Unicode MS,標準"&amp;P</oddFooter>
  </headerFooter>
</worksheet>
</file>

<file path=xl/worksheets/sheet11.xml><?xml version="1.0" encoding="utf-8"?>
<worksheet xmlns="http://schemas.openxmlformats.org/spreadsheetml/2006/main" xmlns:r="http://schemas.openxmlformats.org/officeDocument/2006/relationships">
  <sheetPr codeName="Sheet12">
    <tabColor rgb="FFFFFFCC"/>
  </sheetPr>
  <dimension ref="A1:H36"/>
  <sheetViews>
    <sheetView view="pageBreakPreview" topLeftCell="A19" zoomScale="80" zoomScaleNormal="100" zoomScaleSheetLayoutView="80" workbookViewId="0">
      <selection activeCell="B31" sqref="B31"/>
    </sheetView>
  </sheetViews>
  <sheetFormatPr defaultColWidth="9" defaultRowHeight="16.2"/>
  <cols>
    <col min="1" max="1" width="14.21875" style="609" customWidth="1"/>
    <col min="2" max="2" width="8.77734375" style="609" customWidth="1"/>
    <col min="3" max="3" width="17.6640625" style="609" customWidth="1"/>
    <col min="4" max="4" width="8.44140625" style="609" customWidth="1"/>
    <col min="5" max="5" width="14.109375" style="609" customWidth="1"/>
    <col min="6" max="6" width="8.6640625" style="609" customWidth="1"/>
    <col min="7" max="7" width="20.6640625" style="609" customWidth="1"/>
    <col min="8" max="16384" width="9" style="609"/>
  </cols>
  <sheetData>
    <row r="1" spans="1:8" s="607" customFormat="1" ht="24.6">
      <c r="A1" s="1043" t="s">
        <v>145</v>
      </c>
      <c r="B1" s="1043"/>
      <c r="C1" s="1043"/>
      <c r="D1" s="1043"/>
      <c r="E1" s="1043"/>
      <c r="F1" s="1043"/>
      <c r="G1" s="1043"/>
      <c r="H1" s="606"/>
    </row>
    <row r="2" spans="1:8" ht="22.2">
      <c r="A2" s="1044" t="s">
        <v>146</v>
      </c>
      <c r="B2" s="1044"/>
      <c r="C2" s="1044"/>
      <c r="D2" s="1044"/>
      <c r="E2" s="1044"/>
      <c r="F2" s="1044"/>
      <c r="G2" s="1044"/>
      <c r="H2" s="608"/>
    </row>
    <row r="3" spans="1:8" ht="22.2">
      <c r="A3" s="1045" t="s">
        <v>132</v>
      </c>
      <c r="B3" s="1045"/>
      <c r="C3" s="1045"/>
      <c r="D3" s="1045"/>
      <c r="E3" s="1045"/>
      <c r="F3" s="1045"/>
      <c r="G3" s="1045"/>
      <c r="H3" s="610"/>
    </row>
    <row r="4" spans="1:8" ht="19.8">
      <c r="A4" s="1042" t="s">
        <v>1056</v>
      </c>
      <c r="B4" s="1042"/>
      <c r="C4" s="1042"/>
      <c r="D4" s="1042"/>
      <c r="E4" s="1042"/>
      <c r="F4" s="1042"/>
      <c r="G4" s="1042"/>
      <c r="H4" s="593"/>
    </row>
    <row r="5" spans="1:8" s="592" customFormat="1" ht="16.8" thickBot="1">
      <c r="A5" s="611"/>
      <c r="B5" s="611"/>
      <c r="C5" s="611"/>
      <c r="D5" s="611"/>
      <c r="E5" s="611"/>
      <c r="F5" s="611"/>
      <c r="G5" s="594" t="s">
        <v>641</v>
      </c>
      <c r="H5" s="611"/>
    </row>
    <row r="6" spans="1:8" s="605" customFormat="1" ht="21" customHeight="1">
      <c r="A6" s="1048" t="s">
        <v>157</v>
      </c>
      <c r="B6" s="1047"/>
      <c r="C6" s="1051" t="s">
        <v>310</v>
      </c>
      <c r="D6" s="1052"/>
      <c r="E6" s="1046" t="s">
        <v>986</v>
      </c>
      <c r="F6" s="1047"/>
      <c r="G6" s="1049" t="s">
        <v>147</v>
      </c>
    </row>
    <row r="7" spans="1:8" s="605" customFormat="1" ht="21" customHeight="1">
      <c r="A7" s="596" t="s">
        <v>327</v>
      </c>
      <c r="B7" s="612" t="s">
        <v>158</v>
      </c>
      <c r="C7" s="1053"/>
      <c r="D7" s="1054"/>
      <c r="E7" s="597" t="s">
        <v>987</v>
      </c>
      <c r="F7" s="612" t="s">
        <v>988</v>
      </c>
      <c r="G7" s="1050"/>
    </row>
    <row r="8" spans="1:8" s="605" customFormat="1" ht="22.05" customHeight="1">
      <c r="A8" s="922">
        <f>SUM(A9:A10)</f>
        <v>120366</v>
      </c>
      <c r="B8" s="613">
        <f>A8/$A$19*100</f>
        <v>100</v>
      </c>
      <c r="C8" s="614" t="s">
        <v>328</v>
      </c>
      <c r="D8" s="615"/>
      <c r="E8" s="204">
        <f>SUM(E9:E12)</f>
        <v>174539</v>
      </c>
      <c r="F8" s="616">
        <f>E8/$E$8*100</f>
        <v>100</v>
      </c>
      <c r="G8" s="617"/>
    </row>
    <row r="9" spans="1:8" s="605" customFormat="1" ht="22.05" customHeight="1">
      <c r="A9" s="270">
        <v>9832</v>
      </c>
      <c r="B9" s="618">
        <f>A9/$A$19*100</f>
        <v>8.168419653390492</v>
      </c>
      <c r="C9" s="891" t="s">
        <v>1058</v>
      </c>
      <c r="D9" s="619"/>
      <c r="E9" s="204">
        <f>'15.收支預計表'!D32</f>
        <v>13699</v>
      </c>
      <c r="F9" s="616">
        <f t="shared" ref="F9:F29" si="0">E9/$E$8*100</f>
        <v>7.848675654151795</v>
      </c>
      <c r="G9" s="620" t="s">
        <v>159</v>
      </c>
    </row>
    <row r="10" spans="1:8" s="605" customFormat="1" ht="21.6" customHeight="1">
      <c r="A10" s="270">
        <v>110534</v>
      </c>
      <c r="B10" s="618">
        <f>A10/$A$19*100</f>
        <v>91.831580346609513</v>
      </c>
      <c r="C10" s="891" t="s">
        <v>1059</v>
      </c>
      <c r="D10" s="619"/>
      <c r="E10" s="622">
        <v>160840</v>
      </c>
      <c r="F10" s="623">
        <f t="shared" si="0"/>
        <v>92.151324345848209</v>
      </c>
      <c r="G10" s="620" t="s">
        <v>159</v>
      </c>
    </row>
    <row r="11" spans="1:8" s="605" customFormat="1" ht="40.200000000000003" customHeight="1">
      <c r="A11" s="270"/>
      <c r="B11" s="890"/>
      <c r="C11" s="1040" t="s">
        <v>1057</v>
      </c>
      <c r="D11" s="1041"/>
      <c r="E11" s="622"/>
      <c r="F11" s="623"/>
      <c r="G11" s="620"/>
    </row>
    <row r="12" spans="1:8" s="605" customFormat="1" ht="22.05" customHeight="1">
      <c r="A12" s="270">
        <v>0</v>
      </c>
      <c r="B12" s="624">
        <v>0</v>
      </c>
      <c r="C12" s="891" t="s">
        <v>1060</v>
      </c>
      <c r="D12" s="619"/>
      <c r="E12" s="622">
        <f>SUM(E13:E16)</f>
        <v>0</v>
      </c>
      <c r="F12" s="622">
        <f t="shared" si="0"/>
        <v>0</v>
      </c>
      <c r="G12" s="620"/>
    </row>
    <row r="13" spans="1:8" s="605" customFormat="1" ht="22.05" customHeight="1">
      <c r="A13" s="270">
        <v>0</v>
      </c>
      <c r="B13" s="624">
        <v>0</v>
      </c>
      <c r="C13" s="625" t="s">
        <v>329</v>
      </c>
      <c r="D13" s="626"/>
      <c r="E13" s="622">
        <f>SUM(E14:E18)</f>
        <v>0</v>
      </c>
      <c r="F13" s="622">
        <f t="shared" si="0"/>
        <v>0</v>
      </c>
      <c r="G13" s="627"/>
    </row>
    <row r="14" spans="1:8" s="605" customFormat="1" ht="22.05" customHeight="1">
      <c r="A14" s="270">
        <v>0</v>
      </c>
      <c r="B14" s="624">
        <v>0</v>
      </c>
      <c r="C14" s="621" t="s">
        <v>330</v>
      </c>
      <c r="D14" s="628"/>
      <c r="E14" s="622">
        <v>0</v>
      </c>
      <c r="F14" s="624">
        <f t="shared" si="0"/>
        <v>0</v>
      </c>
      <c r="G14" s="627"/>
    </row>
    <row r="15" spans="1:8" s="605" customFormat="1" ht="22.05" customHeight="1">
      <c r="A15" s="270">
        <v>0</v>
      </c>
      <c r="B15" s="624">
        <v>0</v>
      </c>
      <c r="C15" s="621" t="s">
        <v>331</v>
      </c>
      <c r="D15" s="628"/>
      <c r="E15" s="622">
        <v>0</v>
      </c>
      <c r="F15" s="624">
        <v>0</v>
      </c>
      <c r="G15" s="627"/>
    </row>
    <row r="16" spans="1:8" s="605" customFormat="1" ht="22.05" customHeight="1">
      <c r="A16" s="270">
        <v>0</v>
      </c>
      <c r="B16" s="624">
        <v>0</v>
      </c>
      <c r="C16" s="621" t="s">
        <v>332</v>
      </c>
      <c r="D16" s="628"/>
      <c r="E16" s="622">
        <v>0</v>
      </c>
      <c r="F16" s="624">
        <f t="shared" si="0"/>
        <v>0</v>
      </c>
      <c r="G16" s="629"/>
    </row>
    <row r="17" spans="1:7" s="605" customFormat="1" ht="22.05" customHeight="1">
      <c r="A17" s="270">
        <v>0</v>
      </c>
      <c r="B17" s="624">
        <v>0</v>
      </c>
      <c r="C17" s="621" t="s">
        <v>1137</v>
      </c>
      <c r="D17" s="628"/>
      <c r="E17" s="622">
        <v>0</v>
      </c>
      <c r="F17" s="624">
        <f t="shared" si="0"/>
        <v>0</v>
      </c>
      <c r="G17" s="629"/>
    </row>
    <row r="18" spans="1:7" s="605" customFormat="1" ht="22.05" customHeight="1">
      <c r="A18" s="270">
        <v>0</v>
      </c>
      <c r="B18" s="624">
        <v>0</v>
      </c>
      <c r="C18" s="621" t="s">
        <v>333</v>
      </c>
      <c r="D18" s="628"/>
      <c r="E18" s="622">
        <v>0</v>
      </c>
      <c r="F18" s="624">
        <v>0</v>
      </c>
      <c r="G18" s="629"/>
    </row>
    <row r="19" spans="1:7" s="605" customFormat="1" ht="22.05" customHeight="1">
      <c r="A19" s="270">
        <f>A8</f>
        <v>120366</v>
      </c>
      <c r="B19" s="618">
        <v>100</v>
      </c>
      <c r="C19" s="625" t="s">
        <v>272</v>
      </c>
      <c r="D19" s="628"/>
      <c r="E19" s="204">
        <f>E8</f>
        <v>174539</v>
      </c>
      <c r="F19" s="616">
        <f t="shared" si="0"/>
        <v>100</v>
      </c>
      <c r="G19" s="630"/>
    </row>
    <row r="20" spans="1:7" s="605" customFormat="1" ht="22.05" customHeight="1">
      <c r="A20" s="270">
        <v>0</v>
      </c>
      <c r="B20" s="624">
        <v>0</v>
      </c>
      <c r="C20" s="625" t="s">
        <v>311</v>
      </c>
      <c r="D20" s="631"/>
      <c r="E20" s="622">
        <v>0</v>
      </c>
      <c r="F20" s="624">
        <f t="shared" si="0"/>
        <v>0</v>
      </c>
      <c r="G20" s="627" t="s">
        <v>160</v>
      </c>
    </row>
    <row r="21" spans="1:7" s="605" customFormat="1" ht="22.05" customHeight="1">
      <c r="A21" s="270">
        <v>0</v>
      </c>
      <c r="B21" s="624">
        <v>0</v>
      </c>
      <c r="C21" s="621" t="s">
        <v>312</v>
      </c>
      <c r="D21" s="632"/>
      <c r="E21" s="622">
        <v>0</v>
      </c>
      <c r="F21" s="624">
        <f t="shared" si="0"/>
        <v>0</v>
      </c>
      <c r="G21" s="627"/>
    </row>
    <row r="22" spans="1:7" s="605" customFormat="1" ht="22.05" customHeight="1">
      <c r="A22" s="270">
        <v>0</v>
      </c>
      <c r="B22" s="624">
        <v>0</v>
      </c>
      <c r="C22" s="621" t="s">
        <v>313</v>
      </c>
      <c r="D22" s="632"/>
      <c r="E22" s="622">
        <v>0</v>
      </c>
      <c r="F22" s="624">
        <f t="shared" si="0"/>
        <v>0</v>
      </c>
      <c r="G22" s="627"/>
    </row>
    <row r="23" spans="1:7" s="605" customFormat="1" ht="36" customHeight="1">
      <c r="A23" s="270"/>
      <c r="B23" s="624"/>
      <c r="C23" s="1040" t="s">
        <v>1057</v>
      </c>
      <c r="D23" s="1041"/>
      <c r="E23" s="622"/>
      <c r="F23" s="624"/>
      <c r="G23" s="627"/>
    </row>
    <row r="24" spans="1:7" s="605" customFormat="1" ht="22.05" customHeight="1">
      <c r="A24" s="270">
        <v>0</v>
      </c>
      <c r="B24" s="624">
        <v>0</v>
      </c>
      <c r="C24" s="625" t="s">
        <v>314</v>
      </c>
      <c r="D24" s="632"/>
      <c r="E24" s="622">
        <v>0</v>
      </c>
      <c r="F24" s="624">
        <f t="shared" si="0"/>
        <v>0</v>
      </c>
      <c r="G24" s="627"/>
    </row>
    <row r="25" spans="1:7" s="605" customFormat="1" ht="22.05" customHeight="1">
      <c r="A25" s="270">
        <v>0</v>
      </c>
      <c r="B25" s="624">
        <v>0</v>
      </c>
      <c r="C25" s="621" t="s">
        <v>315</v>
      </c>
      <c r="D25" s="632"/>
      <c r="E25" s="622">
        <v>0</v>
      </c>
      <c r="F25" s="624">
        <f t="shared" si="0"/>
        <v>0</v>
      </c>
      <c r="G25" s="627"/>
    </row>
    <row r="26" spans="1:7" s="605" customFormat="1" ht="22.05" customHeight="1">
      <c r="A26" s="270">
        <v>0</v>
      </c>
      <c r="B26" s="624">
        <v>0</v>
      </c>
      <c r="C26" s="621" t="s">
        <v>316</v>
      </c>
      <c r="D26" s="632"/>
      <c r="E26" s="622">
        <v>0</v>
      </c>
      <c r="F26" s="624">
        <f t="shared" si="0"/>
        <v>0</v>
      </c>
      <c r="G26" s="627"/>
    </row>
    <row r="27" spans="1:7" s="605" customFormat="1" ht="22.05" customHeight="1">
      <c r="A27" s="270">
        <v>0</v>
      </c>
      <c r="B27" s="624">
        <v>0</v>
      </c>
      <c r="C27" s="621" t="s">
        <v>317</v>
      </c>
      <c r="D27" s="632"/>
      <c r="E27" s="622">
        <v>0</v>
      </c>
      <c r="F27" s="624">
        <f t="shared" si="0"/>
        <v>0</v>
      </c>
      <c r="G27" s="627"/>
    </row>
    <row r="28" spans="1:7" s="605" customFormat="1" ht="22.05" customHeight="1">
      <c r="A28" s="270">
        <v>0</v>
      </c>
      <c r="B28" s="624">
        <v>0</v>
      </c>
      <c r="C28" s="621" t="s">
        <v>1138</v>
      </c>
      <c r="D28" s="632"/>
      <c r="E28" s="622">
        <v>0</v>
      </c>
      <c r="F28" s="624">
        <f t="shared" si="0"/>
        <v>0</v>
      </c>
      <c r="G28" s="627"/>
    </row>
    <row r="29" spans="1:7" s="605" customFormat="1" ht="22.05" customHeight="1">
      <c r="A29" s="270">
        <v>0</v>
      </c>
      <c r="B29" s="624">
        <v>0</v>
      </c>
      <c r="C29" s="634" t="s">
        <v>1150</v>
      </c>
      <c r="D29" s="635"/>
      <c r="E29" s="622">
        <v>0</v>
      </c>
      <c r="F29" s="624">
        <f t="shared" si="0"/>
        <v>0</v>
      </c>
      <c r="G29" s="627"/>
    </row>
    <row r="30" spans="1:7" s="605" customFormat="1" ht="22.05" customHeight="1">
      <c r="A30" s="633"/>
      <c r="B30" s="343"/>
      <c r="C30" s="634"/>
      <c r="D30" s="635"/>
      <c r="E30" s="636"/>
      <c r="F30" s="637"/>
      <c r="G30" s="627"/>
    </row>
    <row r="31" spans="1:7" s="605" customFormat="1" ht="22.05" customHeight="1">
      <c r="A31" s="633"/>
      <c r="B31" s="343"/>
      <c r="C31" s="634"/>
      <c r="D31" s="635"/>
      <c r="E31" s="636"/>
      <c r="F31" s="637"/>
      <c r="G31" s="627"/>
    </row>
    <row r="32" spans="1:7" s="605" customFormat="1" ht="22.05" customHeight="1">
      <c r="A32" s="633"/>
      <c r="B32" s="343"/>
      <c r="C32" s="634"/>
      <c r="D32" s="635"/>
      <c r="E32" s="638"/>
      <c r="F32" s="638"/>
      <c r="G32" s="627"/>
    </row>
    <row r="33" spans="1:7" s="605" customFormat="1" ht="22.05" customHeight="1">
      <c r="A33" s="633"/>
      <c r="B33" s="343"/>
      <c r="C33" s="634"/>
      <c r="D33" s="635"/>
      <c r="E33" s="638"/>
      <c r="F33" s="638"/>
      <c r="G33" s="627"/>
    </row>
    <row r="34" spans="1:7" s="605" customFormat="1" ht="22.05" customHeight="1">
      <c r="A34" s="633"/>
      <c r="B34" s="343"/>
      <c r="C34" s="634"/>
      <c r="D34" s="635"/>
      <c r="E34" s="638"/>
      <c r="F34" s="638"/>
      <c r="G34" s="627"/>
    </row>
    <row r="35" spans="1:7" s="605" customFormat="1" ht="22.05" customHeight="1" thickBot="1">
      <c r="A35" s="892"/>
      <c r="B35" s="603"/>
      <c r="C35" s="893"/>
      <c r="D35" s="639"/>
      <c r="E35" s="602"/>
      <c r="F35" s="602"/>
      <c r="G35" s="640"/>
    </row>
    <row r="36" spans="1:7">
      <c r="D36" s="611"/>
    </row>
  </sheetData>
  <mergeCells count="10">
    <mergeCell ref="C11:D11"/>
    <mergeCell ref="C23:D23"/>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7" orientation="portrait" blackAndWhite="1" useFirstPageNumber="1" r:id="rId1"/>
  <headerFooter scaleWithDoc="0" alignWithMargins="0">
    <oddFooter>&amp;C&amp;"Arial Unicode MS,標準"&amp;P</oddFooter>
  </headerFooter>
</worksheet>
</file>

<file path=xl/worksheets/sheet12.xml><?xml version="1.0" encoding="utf-8"?>
<worksheet xmlns="http://schemas.openxmlformats.org/spreadsheetml/2006/main" xmlns:r="http://schemas.openxmlformats.org/officeDocument/2006/relationships">
  <sheetPr codeName="Sheet13">
    <tabColor rgb="FFFFFFCC"/>
  </sheetPr>
  <dimension ref="A1:IU43"/>
  <sheetViews>
    <sheetView view="pageBreakPreview" topLeftCell="A29" zoomScaleNormal="75" zoomScaleSheetLayoutView="100" workbookViewId="0">
      <selection activeCell="A21" sqref="A21"/>
    </sheetView>
  </sheetViews>
  <sheetFormatPr defaultColWidth="9" defaultRowHeight="16.2"/>
  <cols>
    <col min="1" max="1" width="44.6640625" style="34" customWidth="1"/>
    <col min="2" max="2" width="17.33203125" style="72" customWidth="1"/>
    <col min="3" max="3" width="30" style="34" customWidth="1"/>
    <col min="4" max="4" width="10" style="164" bestFit="1" customWidth="1"/>
    <col min="5" max="6" width="9" style="164" bestFit="1"/>
    <col min="7" max="7" width="9.109375" style="34" bestFit="1" customWidth="1"/>
    <col min="8" max="16384" width="9" style="34"/>
  </cols>
  <sheetData>
    <row r="1" spans="1:8" ht="24.6">
      <c r="A1" s="1055" t="s">
        <v>447</v>
      </c>
      <c r="B1" s="1055"/>
      <c r="C1" s="1055"/>
      <c r="D1" s="159"/>
      <c r="E1" s="159"/>
      <c r="F1" s="159"/>
      <c r="G1" s="36"/>
      <c r="H1" s="36"/>
    </row>
    <row r="2" spans="1:8" ht="22.2">
      <c r="A2" s="1056" t="s">
        <v>448</v>
      </c>
      <c r="B2" s="1056"/>
      <c r="C2" s="1056"/>
      <c r="D2" s="160"/>
      <c r="E2" s="160"/>
      <c r="F2" s="160"/>
      <c r="G2" s="37"/>
      <c r="H2" s="37"/>
    </row>
    <row r="3" spans="1:8" ht="22.2">
      <c r="A3" s="1057" t="s">
        <v>305</v>
      </c>
      <c r="B3" s="1057"/>
      <c r="C3" s="1057"/>
      <c r="D3" s="161"/>
      <c r="E3" s="161"/>
      <c r="F3" s="161"/>
      <c r="G3" s="38"/>
      <c r="H3" s="38"/>
    </row>
    <row r="4" spans="1:8" ht="19.8">
      <c r="A4" s="1058" t="s">
        <v>1081</v>
      </c>
      <c r="B4" s="1058"/>
      <c r="C4" s="1058"/>
      <c r="D4" s="162"/>
      <c r="E4" s="162"/>
      <c r="F4" s="162"/>
      <c r="G4" s="39"/>
      <c r="H4" s="39"/>
    </row>
    <row r="5" spans="1:8" ht="17.25" customHeight="1" thickBot="1">
      <c r="A5" s="36"/>
      <c r="B5" s="271"/>
      <c r="C5" s="91" t="s">
        <v>641</v>
      </c>
      <c r="D5" s="159"/>
      <c r="E5" s="159"/>
      <c r="F5" s="159"/>
      <c r="G5" s="36"/>
      <c r="H5" s="36"/>
    </row>
    <row r="6" spans="1:8" ht="21" customHeight="1">
      <c r="A6" s="1061" t="s">
        <v>318</v>
      </c>
      <c r="B6" s="1063" t="s">
        <v>334</v>
      </c>
      <c r="C6" s="1065" t="s">
        <v>335</v>
      </c>
      <c r="D6" s="163"/>
      <c r="E6" s="162"/>
      <c r="F6" s="162"/>
      <c r="G6" s="41"/>
      <c r="H6" s="41"/>
    </row>
    <row r="7" spans="1:8" ht="21" customHeight="1">
      <c r="A7" s="1062"/>
      <c r="B7" s="1064"/>
      <c r="C7" s="1066"/>
      <c r="D7" s="90"/>
    </row>
    <row r="8" spans="1:8" ht="25.05" customHeight="1">
      <c r="A8" s="210" t="s">
        <v>336</v>
      </c>
      <c r="B8" s="278"/>
      <c r="C8" s="274"/>
      <c r="D8" s="90"/>
    </row>
    <row r="9" spans="1:8" s="51" customFormat="1" ht="25.05" customHeight="1">
      <c r="A9" s="272" t="s">
        <v>337</v>
      </c>
      <c r="B9" s="923">
        <f>'15.收支預計表'!D32</f>
        <v>13699</v>
      </c>
      <c r="C9" s="805"/>
      <c r="D9" s="89"/>
      <c r="E9" s="158"/>
      <c r="F9" s="158"/>
    </row>
    <row r="10" spans="1:8" s="51" customFormat="1" ht="25.05" customHeight="1">
      <c r="A10" s="272" t="s">
        <v>1064</v>
      </c>
      <c r="B10" s="923">
        <v>-1700</v>
      </c>
      <c r="C10" s="805" t="s">
        <v>1065</v>
      </c>
      <c r="D10" s="89"/>
      <c r="E10" s="158"/>
      <c r="F10" s="158"/>
    </row>
    <row r="11" spans="1:8" s="51" customFormat="1" ht="25.05" customHeight="1">
      <c r="A11" s="272" t="s">
        <v>1067</v>
      </c>
      <c r="B11" s="923">
        <f>B9+B10</f>
        <v>11999</v>
      </c>
      <c r="C11" s="805"/>
      <c r="D11" s="89"/>
      <c r="E11" s="158"/>
      <c r="F11" s="158"/>
    </row>
    <row r="12" spans="1:8" s="51" customFormat="1" ht="25.05" customHeight="1">
      <c r="A12" s="272" t="s">
        <v>1093</v>
      </c>
      <c r="B12" s="273">
        <f>SUM(B16,B17,B18,B19)</f>
        <v>42088</v>
      </c>
      <c r="C12" s="924" t="s">
        <v>1075</v>
      </c>
      <c r="D12" s="89" t="s">
        <v>306</v>
      </c>
      <c r="E12" s="158" t="s">
        <v>307</v>
      </c>
      <c r="F12" s="158" t="s">
        <v>308</v>
      </c>
      <c r="G12" s="51" t="s">
        <v>309</v>
      </c>
    </row>
    <row r="13" spans="1:8" s="51" customFormat="1" ht="22.05" customHeight="1">
      <c r="A13" s="272"/>
      <c r="B13" s="273"/>
      <c r="C13" s="924" t="s">
        <v>1076</v>
      </c>
      <c r="D13" s="89"/>
      <c r="E13" s="158"/>
      <c r="F13" s="158"/>
    </row>
    <row r="14" spans="1:8" s="51" customFormat="1" ht="22.05" customHeight="1">
      <c r="A14" s="272"/>
      <c r="B14" s="273"/>
      <c r="C14" s="924" t="s">
        <v>1077</v>
      </c>
      <c r="D14" s="89"/>
      <c r="E14" s="158"/>
      <c r="F14" s="158"/>
    </row>
    <row r="15" spans="1:8" s="51" customFormat="1" ht="22.05" customHeight="1">
      <c r="A15" s="272"/>
      <c r="B15" s="273"/>
      <c r="C15" s="924" t="s">
        <v>1078</v>
      </c>
      <c r="D15" s="89"/>
      <c r="E15" s="158"/>
      <c r="F15" s="158"/>
    </row>
    <row r="16" spans="1:8" s="51" customFormat="1" ht="25.05" hidden="1" customHeight="1">
      <c r="A16" s="275" t="s">
        <v>1066</v>
      </c>
      <c r="B16" s="882">
        <f>'40-41.各項費用彙計表(7級) '!E73</f>
        <v>19994</v>
      </c>
      <c r="C16" s="806"/>
      <c r="D16" s="89">
        <v>17641</v>
      </c>
      <c r="E16" s="158">
        <v>1099</v>
      </c>
      <c r="F16" s="158">
        <v>2369</v>
      </c>
      <c r="G16" s="166">
        <f>SUM(D16:F16)</f>
        <v>21109</v>
      </c>
    </row>
    <row r="17" spans="1:255" s="51" customFormat="1" ht="25.05" hidden="1" customHeight="1">
      <c r="A17" s="275" t="s">
        <v>341</v>
      </c>
      <c r="B17" s="882">
        <f>'40-41.各項費用彙計表(7級) '!E77</f>
        <v>20006</v>
      </c>
      <c r="C17" s="806"/>
      <c r="D17" s="89"/>
      <c r="E17" s="158"/>
      <c r="F17" s="158"/>
    </row>
    <row r="18" spans="1:255" s="51" customFormat="1" ht="25.05" hidden="1" customHeight="1">
      <c r="A18" s="275" t="s">
        <v>319</v>
      </c>
      <c r="B18" s="883">
        <f>-('37.預計平衡表'!E13+'37.預計平衡表'!E16)</f>
        <v>4312</v>
      </c>
      <c r="C18" s="807"/>
      <c r="D18" s="89"/>
      <c r="E18" s="158"/>
      <c r="F18" s="158"/>
    </row>
    <row r="19" spans="1:255" s="51" customFormat="1" ht="25.05" hidden="1" customHeight="1">
      <c r="A19" s="275" t="s">
        <v>342</v>
      </c>
      <c r="B19" s="882">
        <f>'37.預計平衡表'!E38</f>
        <v>-2224</v>
      </c>
      <c r="C19" s="807"/>
      <c r="D19" s="89"/>
      <c r="E19" s="158"/>
      <c r="F19" s="158"/>
    </row>
    <row r="20" spans="1:255" s="51" customFormat="1" ht="25.05" customHeight="1">
      <c r="A20" s="275" t="s">
        <v>1068</v>
      </c>
      <c r="B20" s="273">
        <f>B11+B12</f>
        <v>54087</v>
      </c>
      <c r="C20" s="807"/>
      <c r="D20" s="89"/>
      <c r="E20" s="158"/>
      <c r="F20" s="158"/>
    </row>
    <row r="21" spans="1:255" s="51" customFormat="1" ht="25.05" customHeight="1">
      <c r="A21" s="275" t="s">
        <v>1069</v>
      </c>
      <c r="B21" s="273">
        <v>1700</v>
      </c>
      <c r="C21" s="807"/>
      <c r="D21" s="89"/>
      <c r="E21" s="158"/>
      <c r="F21" s="158"/>
    </row>
    <row r="22" spans="1:255" s="51" customFormat="1" ht="25.05" customHeight="1">
      <c r="A22" s="276" t="s">
        <v>343</v>
      </c>
      <c r="B22" s="273">
        <f>B20+B21</f>
        <v>55787</v>
      </c>
      <c r="C22" s="805"/>
      <c r="D22" s="89"/>
      <c r="E22" s="158"/>
      <c r="F22" s="158"/>
    </row>
    <row r="23" spans="1:255" s="51" customFormat="1" ht="25.05" customHeight="1">
      <c r="A23" s="212" t="s">
        <v>712</v>
      </c>
      <c r="B23" s="273"/>
      <c r="C23" s="274"/>
      <c r="D23" s="89"/>
      <c r="E23" s="158"/>
      <c r="F23" s="158"/>
    </row>
    <row r="24" spans="1:255" s="51" customFormat="1" ht="25.05" customHeight="1">
      <c r="A24" s="100" t="s">
        <v>1071</v>
      </c>
      <c r="B24" s="273">
        <f>B25</f>
        <v>2</v>
      </c>
      <c r="C24" s="805" t="s">
        <v>1074</v>
      </c>
      <c r="D24" s="89"/>
      <c r="E24" s="158"/>
      <c r="F24" s="158"/>
    </row>
    <row r="25" spans="1:255" s="51" customFormat="1" ht="25.05" customHeight="1">
      <c r="A25" s="100" t="s">
        <v>1128</v>
      </c>
      <c r="B25" s="273">
        <v>2</v>
      </c>
      <c r="C25" s="805"/>
      <c r="D25" s="89"/>
      <c r="E25" s="158"/>
      <c r="F25" s="158"/>
    </row>
    <row r="26" spans="1:255" s="51" customFormat="1" ht="25.05" customHeight="1">
      <c r="A26" s="654" t="s">
        <v>1129</v>
      </c>
      <c r="B26" s="273">
        <f>SUM(B27)</f>
        <v>-23586</v>
      </c>
      <c r="C26" s="925" t="s">
        <v>1072</v>
      </c>
      <c r="D26" s="89"/>
      <c r="E26" s="158"/>
      <c r="F26" s="158"/>
    </row>
    <row r="27" spans="1:255" s="51" customFormat="1" ht="25.05" customHeight="1">
      <c r="A27" s="654" t="s">
        <v>1070</v>
      </c>
      <c r="B27" s="273">
        <f>-G27</f>
        <v>-23586</v>
      </c>
      <c r="C27" s="925" t="s">
        <v>1073</v>
      </c>
      <c r="D27" s="89">
        <v>20877</v>
      </c>
      <c r="E27" s="158"/>
      <c r="F27" s="158">
        <v>2709</v>
      </c>
      <c r="G27" s="166">
        <v>23586</v>
      </c>
    </row>
    <row r="28" spans="1:255" s="51" customFormat="1" ht="25.05" hidden="1" customHeight="1">
      <c r="A28" s="277"/>
      <c r="B28" s="273"/>
      <c r="C28" s="925"/>
      <c r="D28" s="89"/>
      <c r="E28" s="158"/>
      <c r="F28" s="158"/>
      <c r="G28" s="166"/>
    </row>
    <row r="29" spans="1:255" s="67" customFormat="1" ht="25.05" customHeight="1">
      <c r="A29" s="100" t="s">
        <v>1121</v>
      </c>
      <c r="B29" s="923">
        <f>B30</f>
        <v>-18857</v>
      </c>
      <c r="C29" s="808" t="s">
        <v>889</v>
      </c>
      <c r="D29" s="165"/>
      <c r="E29" s="165"/>
      <c r="F29" s="165"/>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c r="II29" s="68"/>
      <c r="IJ29" s="68"/>
      <c r="IK29" s="68"/>
      <c r="IL29" s="68"/>
      <c r="IM29" s="68"/>
      <c r="IN29" s="68"/>
      <c r="IO29" s="68"/>
      <c r="IP29" s="68"/>
      <c r="IQ29" s="68"/>
      <c r="IR29" s="68"/>
      <c r="IS29" s="68"/>
      <c r="IT29" s="68"/>
      <c r="IU29" s="68"/>
    </row>
    <row r="30" spans="1:255" s="67" customFormat="1" ht="25.05" customHeight="1">
      <c r="A30" s="100" t="s">
        <v>1122</v>
      </c>
      <c r="B30" s="923">
        <f>-D30</f>
        <v>-18857</v>
      </c>
      <c r="C30" s="808"/>
      <c r="D30" s="165">
        <v>18857</v>
      </c>
      <c r="E30" s="165"/>
      <c r="F30" s="165"/>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c r="II30" s="68"/>
      <c r="IJ30" s="68"/>
      <c r="IK30" s="68"/>
      <c r="IL30" s="68"/>
      <c r="IM30" s="68"/>
      <c r="IN30" s="68"/>
      <c r="IO30" s="68"/>
      <c r="IP30" s="68"/>
      <c r="IQ30" s="68"/>
      <c r="IR30" s="68"/>
      <c r="IS30" s="68"/>
      <c r="IT30" s="68"/>
      <c r="IU30" s="68"/>
    </row>
    <row r="31" spans="1:255" s="51" customFormat="1" ht="25.05" customHeight="1">
      <c r="A31" s="926" t="s">
        <v>1123</v>
      </c>
      <c r="B31" s="656">
        <f>B24+B26+B29</f>
        <v>-42441</v>
      </c>
      <c r="C31" s="805"/>
      <c r="D31" s="165"/>
      <c r="E31" s="165"/>
      <c r="F31" s="165"/>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c r="GC31" s="68"/>
      <c r="GD31" s="68"/>
      <c r="GE31" s="68"/>
      <c r="GF31" s="68"/>
      <c r="GG31" s="68"/>
      <c r="GH31" s="68"/>
      <c r="GI31" s="68"/>
      <c r="GJ31" s="68"/>
      <c r="GK31" s="68"/>
      <c r="GL31" s="68"/>
      <c r="GM31" s="68"/>
      <c r="GN31" s="68"/>
      <c r="GO31" s="68"/>
      <c r="GP31" s="68"/>
      <c r="GQ31" s="68"/>
      <c r="GR31" s="68"/>
      <c r="GS31" s="68"/>
      <c r="GT31" s="68"/>
      <c r="GU31" s="68"/>
      <c r="GV31" s="68"/>
      <c r="GW31" s="68"/>
      <c r="GX31" s="68"/>
      <c r="GY31" s="68"/>
      <c r="GZ31" s="68"/>
      <c r="HA31" s="68"/>
      <c r="HB31" s="68"/>
      <c r="HC31" s="68"/>
      <c r="HD31" s="68"/>
      <c r="HE31" s="68"/>
      <c r="HF31" s="68"/>
      <c r="HG31" s="68"/>
      <c r="HH31" s="68"/>
      <c r="HI31" s="68"/>
      <c r="HJ31" s="68"/>
      <c r="HK31" s="68"/>
      <c r="HL31" s="68"/>
      <c r="HM31" s="68"/>
      <c r="HN31" s="68"/>
      <c r="HO31" s="68"/>
      <c r="HP31" s="68"/>
      <c r="HQ31" s="68"/>
      <c r="HR31" s="68"/>
      <c r="HS31" s="68"/>
      <c r="HT31" s="68"/>
      <c r="HU31" s="68"/>
      <c r="HV31" s="68"/>
      <c r="HW31" s="68"/>
      <c r="HX31" s="68"/>
      <c r="HY31" s="68"/>
      <c r="HZ31" s="68"/>
      <c r="IA31" s="68"/>
      <c r="IB31" s="68"/>
      <c r="IC31" s="68"/>
      <c r="ID31" s="68"/>
      <c r="IE31" s="68"/>
      <c r="IF31" s="68"/>
      <c r="IG31" s="68"/>
      <c r="IH31" s="68"/>
      <c r="II31" s="68"/>
      <c r="IJ31" s="68"/>
      <c r="IK31" s="68"/>
      <c r="IL31" s="68"/>
      <c r="IM31" s="68"/>
      <c r="IN31" s="68"/>
      <c r="IO31" s="68"/>
      <c r="IP31" s="68"/>
      <c r="IQ31" s="68"/>
      <c r="IR31" s="68"/>
      <c r="IS31" s="68"/>
      <c r="IT31" s="68"/>
      <c r="IU31" s="68"/>
    </row>
    <row r="32" spans="1:255" s="51" customFormat="1" ht="25.05" customHeight="1">
      <c r="A32" s="926" t="s">
        <v>1124</v>
      </c>
      <c r="B32" s="656"/>
      <c r="C32" s="805"/>
      <c r="D32" s="165"/>
      <c r="E32" s="165"/>
      <c r="F32" s="165"/>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8"/>
      <c r="FL32" s="68"/>
      <c r="FM32" s="68"/>
      <c r="FN32" s="68"/>
      <c r="FO32" s="68"/>
      <c r="FP32" s="68"/>
      <c r="FQ32" s="68"/>
      <c r="FR32" s="68"/>
      <c r="FS32" s="68"/>
      <c r="FT32" s="68"/>
      <c r="FU32" s="68"/>
      <c r="FV32" s="68"/>
      <c r="FW32" s="68"/>
      <c r="FX32" s="68"/>
      <c r="FY32" s="68"/>
      <c r="FZ32" s="68"/>
      <c r="GA32" s="68"/>
      <c r="GB32" s="68"/>
      <c r="GC32" s="68"/>
      <c r="GD32" s="68"/>
      <c r="GE32" s="68"/>
      <c r="GF32" s="68"/>
      <c r="GG32" s="68"/>
      <c r="GH32" s="68"/>
      <c r="GI32" s="68"/>
      <c r="GJ32" s="68"/>
      <c r="GK32" s="68"/>
      <c r="GL32" s="68"/>
      <c r="GM32" s="68"/>
      <c r="GN32" s="68"/>
      <c r="GO32" s="68"/>
      <c r="GP32" s="68"/>
      <c r="GQ32" s="68"/>
      <c r="GR32" s="68"/>
      <c r="GS32" s="68"/>
      <c r="GT32" s="68"/>
      <c r="GU32" s="68"/>
      <c r="GV32" s="68"/>
      <c r="GW32" s="68"/>
      <c r="GX32" s="68"/>
      <c r="GY32" s="68"/>
      <c r="GZ32" s="68"/>
      <c r="HA32" s="68"/>
      <c r="HB32" s="68"/>
      <c r="HC32" s="68"/>
      <c r="HD32" s="68"/>
      <c r="HE32" s="68"/>
      <c r="HF32" s="68"/>
      <c r="HG32" s="68"/>
      <c r="HH32" s="68"/>
      <c r="HI32" s="68"/>
      <c r="HJ32" s="68"/>
      <c r="HK32" s="68"/>
      <c r="HL32" s="68"/>
      <c r="HM32" s="68"/>
      <c r="HN32" s="68"/>
      <c r="HO32" s="68"/>
      <c r="HP32" s="68"/>
      <c r="HQ32" s="68"/>
      <c r="HR32" s="68"/>
      <c r="HS32" s="68"/>
      <c r="HT32" s="68"/>
      <c r="HU32" s="68"/>
      <c r="HV32" s="68"/>
      <c r="HW32" s="68"/>
      <c r="HX32" s="68"/>
      <c r="HY32" s="68"/>
      <c r="HZ32" s="68"/>
      <c r="IA32" s="68"/>
      <c r="IB32" s="68"/>
      <c r="IC32" s="68"/>
      <c r="ID32" s="68"/>
      <c r="IE32" s="68"/>
      <c r="IF32" s="68"/>
      <c r="IG32" s="68"/>
      <c r="IH32" s="68"/>
      <c r="II32" s="68"/>
      <c r="IJ32" s="68"/>
      <c r="IK32" s="68"/>
      <c r="IL32" s="68"/>
      <c r="IM32" s="68"/>
      <c r="IN32" s="68"/>
      <c r="IO32" s="68"/>
      <c r="IP32" s="68"/>
      <c r="IQ32" s="68"/>
      <c r="IR32" s="68"/>
      <c r="IS32" s="68"/>
      <c r="IT32" s="68"/>
      <c r="IU32" s="68"/>
    </row>
    <row r="33" spans="1:255" s="51" customFormat="1" ht="25.05" hidden="1" customHeight="1">
      <c r="A33" s="927" t="s">
        <v>1125</v>
      </c>
      <c r="B33" s="656"/>
      <c r="C33" s="805" t="s">
        <v>982</v>
      </c>
      <c r="D33" s="165"/>
      <c r="E33" s="165"/>
      <c r="F33" s="165"/>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c r="GB33" s="68"/>
      <c r="GC33" s="68"/>
      <c r="GD33" s="68"/>
      <c r="GE33" s="68"/>
      <c r="GF33" s="68"/>
      <c r="GG33" s="68"/>
      <c r="GH33" s="68"/>
      <c r="GI33" s="68"/>
      <c r="GJ33" s="68"/>
      <c r="GK33" s="68"/>
      <c r="GL33" s="68"/>
      <c r="GM33" s="68"/>
      <c r="GN33" s="68"/>
      <c r="GO33" s="68"/>
      <c r="GP33" s="68"/>
      <c r="GQ33" s="68"/>
      <c r="GR33" s="68"/>
      <c r="GS33" s="68"/>
      <c r="GT33" s="68"/>
      <c r="GU33" s="68"/>
      <c r="GV33" s="68"/>
      <c r="GW33" s="68"/>
      <c r="GX33" s="68"/>
      <c r="GY33" s="68"/>
      <c r="GZ33" s="68"/>
      <c r="HA33" s="68"/>
      <c r="HB33" s="68"/>
      <c r="HC33" s="68"/>
      <c r="HD33" s="68"/>
      <c r="HE33" s="68"/>
      <c r="HF33" s="68"/>
      <c r="HG33" s="68"/>
      <c r="HH33" s="68"/>
      <c r="HI33" s="68"/>
      <c r="HJ33" s="68"/>
      <c r="HK33" s="68"/>
      <c r="HL33" s="68"/>
      <c r="HM33" s="68"/>
      <c r="HN33" s="68"/>
      <c r="HO33" s="68"/>
      <c r="HP33" s="68"/>
      <c r="HQ33" s="68"/>
      <c r="HR33" s="68"/>
      <c r="HS33" s="68"/>
      <c r="HT33" s="68"/>
      <c r="HU33" s="68"/>
      <c r="HV33" s="68"/>
      <c r="HW33" s="68"/>
      <c r="HX33" s="68"/>
      <c r="HY33" s="68"/>
      <c r="HZ33" s="68"/>
      <c r="IA33" s="68"/>
      <c r="IB33" s="68"/>
      <c r="IC33" s="68"/>
      <c r="ID33" s="68"/>
      <c r="IE33" s="68"/>
      <c r="IF33" s="68"/>
      <c r="IG33" s="68"/>
      <c r="IH33" s="68"/>
      <c r="II33" s="68"/>
      <c r="IJ33" s="68"/>
      <c r="IK33" s="68"/>
      <c r="IL33" s="68"/>
      <c r="IM33" s="68"/>
      <c r="IN33" s="68"/>
      <c r="IO33" s="68"/>
      <c r="IP33" s="68"/>
      <c r="IQ33" s="68"/>
      <c r="IR33" s="68"/>
      <c r="IS33" s="68"/>
      <c r="IT33" s="68"/>
      <c r="IU33" s="68"/>
    </row>
    <row r="34" spans="1:255" s="51" customFormat="1" ht="25.05" customHeight="1">
      <c r="A34" s="927" t="s">
        <v>1126</v>
      </c>
      <c r="B34" s="656">
        <v>-5893</v>
      </c>
      <c r="C34" s="929" t="s">
        <v>1079</v>
      </c>
      <c r="D34" s="165"/>
      <c r="E34" s="165"/>
      <c r="F34" s="165"/>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c r="II34" s="68"/>
      <c r="IJ34" s="68"/>
      <c r="IK34" s="68"/>
      <c r="IL34" s="68"/>
      <c r="IM34" s="68"/>
      <c r="IN34" s="68"/>
      <c r="IO34" s="68"/>
      <c r="IP34" s="68"/>
      <c r="IQ34" s="68"/>
      <c r="IR34" s="68"/>
      <c r="IS34" s="68"/>
      <c r="IT34" s="68"/>
      <c r="IU34" s="68"/>
    </row>
    <row r="35" spans="1:255" s="51" customFormat="1" ht="25.05" customHeight="1">
      <c r="A35" s="927"/>
      <c r="B35" s="656"/>
      <c r="C35" s="930" t="s">
        <v>1080</v>
      </c>
      <c r="D35" s="165"/>
      <c r="E35" s="165"/>
      <c r="F35" s="165"/>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c r="DL35" s="68"/>
      <c r="DM35" s="68"/>
      <c r="DN35" s="68"/>
      <c r="DO35" s="68"/>
      <c r="DP35" s="68"/>
      <c r="DQ35" s="68"/>
      <c r="DR35" s="68"/>
      <c r="DS35" s="68"/>
      <c r="DT35" s="68"/>
      <c r="DU35" s="68"/>
      <c r="DV35" s="68"/>
      <c r="DW35" s="68"/>
      <c r="DX35" s="68"/>
      <c r="DY35" s="68"/>
      <c r="DZ35" s="68"/>
      <c r="EA35" s="68"/>
      <c r="EB35" s="68"/>
      <c r="EC35" s="68"/>
      <c r="ED35" s="68"/>
      <c r="EE35" s="68"/>
      <c r="EF35" s="68"/>
      <c r="EG35" s="68"/>
      <c r="EH35" s="68"/>
      <c r="EI35" s="68"/>
      <c r="EJ35" s="68"/>
      <c r="EK35" s="68"/>
      <c r="EL35" s="68"/>
      <c r="EM35" s="68"/>
      <c r="EN35" s="68"/>
      <c r="EO35" s="68"/>
      <c r="EP35" s="68"/>
      <c r="EQ35" s="68"/>
      <c r="ER35" s="68"/>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c r="GC35" s="68"/>
      <c r="GD35" s="68"/>
      <c r="GE35" s="68"/>
      <c r="GF35" s="68"/>
      <c r="GG35" s="68"/>
      <c r="GH35" s="68"/>
      <c r="GI35" s="68"/>
      <c r="GJ35" s="68"/>
      <c r="GK35" s="68"/>
      <c r="GL35" s="68"/>
      <c r="GM35" s="68"/>
      <c r="GN35" s="68"/>
      <c r="GO35" s="68"/>
      <c r="GP35" s="68"/>
      <c r="GQ35" s="68"/>
      <c r="GR35" s="68"/>
      <c r="GS35" s="68"/>
      <c r="GT35" s="68"/>
      <c r="GU35" s="68"/>
      <c r="GV35" s="68"/>
      <c r="GW35" s="68"/>
      <c r="GX35" s="68"/>
      <c r="GY35" s="68"/>
      <c r="GZ35" s="68"/>
      <c r="HA35" s="68"/>
      <c r="HB35" s="68"/>
      <c r="HC35" s="68"/>
      <c r="HD35" s="68"/>
      <c r="HE35" s="68"/>
      <c r="HF35" s="68"/>
      <c r="HG35" s="68"/>
      <c r="HH35" s="68"/>
      <c r="HI35" s="68"/>
      <c r="HJ35" s="68"/>
      <c r="HK35" s="68"/>
      <c r="HL35" s="68"/>
      <c r="HM35" s="68"/>
      <c r="HN35" s="68"/>
      <c r="HO35" s="68"/>
      <c r="HP35" s="68"/>
      <c r="HQ35" s="68"/>
      <c r="HR35" s="68"/>
      <c r="HS35" s="68"/>
      <c r="HT35" s="68"/>
      <c r="HU35" s="68"/>
      <c r="HV35" s="68"/>
      <c r="HW35" s="68"/>
      <c r="HX35" s="68"/>
      <c r="HY35" s="68"/>
      <c r="HZ35" s="68"/>
      <c r="IA35" s="68"/>
      <c r="IB35" s="68"/>
      <c r="IC35" s="68"/>
      <c r="ID35" s="68"/>
      <c r="IE35" s="68"/>
      <c r="IF35" s="68"/>
      <c r="IG35" s="68"/>
      <c r="IH35" s="68"/>
      <c r="II35" s="68"/>
      <c r="IJ35" s="68"/>
      <c r="IK35" s="68"/>
      <c r="IL35" s="68"/>
      <c r="IM35" s="68"/>
      <c r="IN35" s="68"/>
      <c r="IO35" s="68"/>
      <c r="IP35" s="68"/>
      <c r="IQ35" s="68"/>
      <c r="IR35" s="68"/>
      <c r="IS35" s="68"/>
      <c r="IT35" s="68"/>
      <c r="IU35" s="68"/>
    </row>
    <row r="36" spans="1:255" s="51" customFormat="1" ht="25.05" customHeight="1">
      <c r="A36" s="928" t="s">
        <v>1127</v>
      </c>
      <c r="B36" s="656">
        <f>SUM(B33:B35)</f>
        <v>-5893</v>
      </c>
      <c r="C36" s="805"/>
      <c r="D36" s="165"/>
      <c r="E36" s="165"/>
      <c r="F36" s="165"/>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c r="GA36" s="68"/>
      <c r="GB36" s="68"/>
      <c r="GC36" s="68"/>
      <c r="GD36" s="68"/>
      <c r="GE36" s="68"/>
      <c r="GF36" s="68"/>
      <c r="GG36" s="68"/>
      <c r="GH36" s="68"/>
      <c r="GI36" s="68"/>
      <c r="GJ36" s="68"/>
      <c r="GK36" s="68"/>
      <c r="GL36" s="68"/>
      <c r="GM36" s="68"/>
      <c r="GN36" s="68"/>
      <c r="GO36" s="68"/>
      <c r="GP36" s="68"/>
      <c r="GQ36" s="68"/>
      <c r="GR36" s="68"/>
      <c r="GS36" s="68"/>
      <c r="GT36" s="68"/>
      <c r="GU36" s="68"/>
      <c r="GV36" s="68"/>
      <c r="GW36" s="68"/>
      <c r="GX36" s="68"/>
      <c r="GY36" s="68"/>
      <c r="GZ36" s="68"/>
      <c r="HA36" s="68"/>
      <c r="HB36" s="68"/>
      <c r="HC36" s="68"/>
      <c r="HD36" s="68"/>
      <c r="HE36" s="68"/>
      <c r="HF36" s="68"/>
      <c r="HG36" s="68"/>
      <c r="HH36" s="68"/>
      <c r="HI36" s="68"/>
      <c r="HJ36" s="68"/>
      <c r="HK36" s="68"/>
      <c r="HL36" s="68"/>
      <c r="HM36" s="68"/>
      <c r="HN36" s="68"/>
      <c r="HO36" s="68"/>
      <c r="HP36" s="68"/>
      <c r="HQ36" s="68"/>
      <c r="HR36" s="68"/>
      <c r="HS36" s="68"/>
      <c r="HT36" s="68"/>
      <c r="HU36" s="68"/>
      <c r="HV36" s="68"/>
      <c r="HW36" s="68"/>
      <c r="HX36" s="68"/>
      <c r="HY36" s="68"/>
      <c r="HZ36" s="68"/>
      <c r="IA36" s="68"/>
      <c r="IB36" s="68"/>
      <c r="IC36" s="68"/>
      <c r="ID36" s="68"/>
      <c r="IE36" s="68"/>
      <c r="IF36" s="68"/>
      <c r="IG36" s="68"/>
      <c r="IH36" s="68"/>
      <c r="II36" s="68"/>
      <c r="IJ36" s="68"/>
      <c r="IK36" s="68"/>
      <c r="IL36" s="68"/>
      <c r="IM36" s="68"/>
      <c r="IN36" s="68"/>
      <c r="IO36" s="68"/>
      <c r="IP36" s="68"/>
      <c r="IQ36" s="68"/>
      <c r="IR36" s="68"/>
      <c r="IS36" s="68"/>
      <c r="IT36" s="68"/>
      <c r="IU36" s="68"/>
    </row>
    <row r="37" spans="1:255" s="51" customFormat="1" ht="25.05" customHeight="1">
      <c r="A37" s="212" t="s">
        <v>338</v>
      </c>
      <c r="B37" s="273">
        <f>B22+B31+B36</f>
        <v>7453</v>
      </c>
      <c r="C37" s="274"/>
      <c r="D37" s="89"/>
      <c r="E37" s="158"/>
      <c r="F37" s="158"/>
    </row>
    <row r="38" spans="1:255" s="51" customFormat="1" ht="25.05" customHeight="1">
      <c r="A38" s="212" t="s">
        <v>339</v>
      </c>
      <c r="B38" s="273">
        <f>'37.預計平衡表'!D10</f>
        <v>233444</v>
      </c>
      <c r="C38" s="851" t="s">
        <v>868</v>
      </c>
      <c r="D38" s="89"/>
      <c r="E38" s="158"/>
      <c r="F38" s="158"/>
    </row>
    <row r="39" spans="1:255" s="51" customFormat="1" ht="25.05" customHeight="1" thickBot="1">
      <c r="A39" s="212" t="s">
        <v>340</v>
      </c>
      <c r="B39" s="273">
        <f>SUM(B37:B38)</f>
        <v>240897</v>
      </c>
      <c r="C39" s="851"/>
      <c r="D39" s="89"/>
      <c r="E39" s="158"/>
      <c r="F39" s="158"/>
    </row>
    <row r="40" spans="1:255" s="51" customFormat="1" ht="30" hidden="1" customHeight="1">
      <c r="A40" s="194"/>
      <c r="B40" s="71"/>
      <c r="C40" s="211"/>
      <c r="D40" s="89"/>
      <c r="E40" s="158"/>
      <c r="F40" s="158"/>
    </row>
    <row r="41" spans="1:255" s="51" customFormat="1" ht="22.2" hidden="1" customHeight="1" thickBot="1">
      <c r="A41" s="214"/>
      <c r="B41" s="215"/>
      <c r="C41" s="195"/>
      <c r="D41" s="89"/>
      <c r="E41" s="158"/>
      <c r="F41" s="158"/>
    </row>
    <row r="42" spans="1:255" s="48" customFormat="1">
      <c r="A42" s="1059" t="s">
        <v>320</v>
      </c>
      <c r="B42" s="1060"/>
      <c r="C42" s="1060"/>
      <c r="D42" s="89"/>
      <c r="E42" s="158"/>
      <c r="F42" s="158"/>
    </row>
    <row r="43" spans="1:255" s="70" customFormat="1" ht="24.75" customHeight="1">
      <c r="A43" s="303"/>
      <c r="B43" s="303"/>
      <c r="C43" s="303"/>
      <c r="D43" s="89"/>
      <c r="E43" s="89"/>
      <c r="F43" s="89"/>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7"/>
      <c r="FD43" s="67"/>
      <c r="FE43" s="67"/>
      <c r="FF43" s="67"/>
      <c r="FG43" s="67"/>
      <c r="FH43" s="67"/>
      <c r="FI43" s="67"/>
      <c r="FJ43" s="67"/>
      <c r="FK43" s="67"/>
      <c r="FL43" s="67"/>
      <c r="FM43" s="67"/>
      <c r="FN43" s="67"/>
      <c r="FO43" s="67"/>
      <c r="FP43" s="67"/>
      <c r="FQ43" s="67"/>
      <c r="FR43" s="67"/>
      <c r="FS43" s="67"/>
      <c r="FT43" s="67"/>
      <c r="FU43" s="67"/>
      <c r="FV43" s="67"/>
      <c r="FW43" s="67"/>
      <c r="FX43" s="67"/>
      <c r="FY43" s="67"/>
      <c r="FZ43" s="67"/>
      <c r="GA43" s="67"/>
      <c r="GB43" s="67"/>
      <c r="GC43" s="67"/>
      <c r="GD43" s="67"/>
      <c r="GE43" s="67"/>
      <c r="GF43" s="67"/>
      <c r="GG43" s="67"/>
      <c r="GH43" s="67"/>
      <c r="GI43" s="67"/>
      <c r="GJ43" s="67"/>
      <c r="GK43" s="67"/>
      <c r="GL43" s="67"/>
      <c r="GM43" s="67"/>
      <c r="GN43" s="67"/>
      <c r="GO43" s="67"/>
      <c r="GP43" s="67"/>
      <c r="GQ43" s="67"/>
      <c r="GR43" s="67"/>
      <c r="GS43" s="67"/>
      <c r="GT43" s="67"/>
      <c r="GU43" s="67"/>
      <c r="GV43" s="67"/>
      <c r="GW43" s="67"/>
      <c r="GX43" s="67"/>
      <c r="GY43" s="67"/>
      <c r="GZ43" s="67"/>
      <c r="HA43" s="67"/>
      <c r="HB43" s="67"/>
      <c r="HC43" s="67"/>
      <c r="HD43" s="67"/>
      <c r="HE43" s="67"/>
      <c r="HF43" s="67"/>
      <c r="HG43" s="67"/>
      <c r="HH43" s="67"/>
      <c r="HI43" s="67"/>
      <c r="HJ43" s="67"/>
      <c r="HK43" s="67"/>
      <c r="HL43" s="67"/>
      <c r="HM43" s="67"/>
      <c r="HN43" s="67"/>
      <c r="HO43" s="67"/>
      <c r="HP43" s="67"/>
      <c r="HQ43" s="67"/>
      <c r="HR43" s="67"/>
      <c r="HS43" s="67"/>
      <c r="HT43" s="67"/>
      <c r="HU43" s="67"/>
      <c r="HV43" s="67"/>
      <c r="HW43" s="67"/>
      <c r="HX43" s="67"/>
      <c r="HY43" s="67"/>
      <c r="HZ43" s="67"/>
      <c r="IA43" s="67"/>
      <c r="IB43" s="67"/>
      <c r="IC43" s="67"/>
      <c r="ID43" s="67"/>
      <c r="IE43" s="67"/>
      <c r="IF43" s="67"/>
      <c r="IG43" s="67"/>
      <c r="IH43" s="67"/>
      <c r="II43" s="67"/>
      <c r="IJ43" s="67"/>
      <c r="IK43" s="67"/>
      <c r="IL43" s="67"/>
      <c r="IM43" s="67"/>
      <c r="IN43" s="67"/>
      <c r="IO43" s="67"/>
      <c r="IP43" s="67"/>
      <c r="IQ43" s="67"/>
      <c r="IR43" s="67"/>
      <c r="IS43" s="67"/>
      <c r="IT43" s="67"/>
      <c r="IU43" s="67"/>
    </row>
  </sheetData>
  <mergeCells count="8">
    <mergeCell ref="A1:C1"/>
    <mergeCell ref="A2:C2"/>
    <mergeCell ref="A3:C3"/>
    <mergeCell ref="A4:C4"/>
    <mergeCell ref="A42:C42"/>
    <mergeCell ref="A6:A7"/>
    <mergeCell ref="B6:B7"/>
    <mergeCell ref="C6:C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8" orientation="portrait" blackAndWhite="1" useFirstPageNumber="1" r:id="rId1"/>
  <headerFooter scaleWithDoc="0" alignWithMargins="0">
    <oddFooter>&amp;C&amp;"Arial Unicode MS,標準"&amp;P</oddFooter>
  </headerFooter>
</worksheet>
</file>

<file path=xl/worksheets/sheet13.xml><?xml version="1.0" encoding="utf-8"?>
<worksheet xmlns="http://schemas.openxmlformats.org/spreadsheetml/2006/main" xmlns:r="http://schemas.openxmlformats.org/officeDocument/2006/relationships">
  <sheetPr codeName="Sheet14"/>
  <dimension ref="A16:I16"/>
  <sheetViews>
    <sheetView zoomScale="50" workbookViewId="0">
      <selection activeCell="D37" sqref="D37"/>
    </sheetView>
  </sheetViews>
  <sheetFormatPr defaultColWidth="9" defaultRowHeight="16.2"/>
  <cols>
    <col min="1" max="8" width="9" style="1"/>
    <col min="9" max="9" width="14.109375" style="1" customWidth="1"/>
    <col min="10" max="16384" width="9" style="1"/>
  </cols>
  <sheetData>
    <row r="16" spans="1:9" ht="49.8">
      <c r="A16" s="1000" t="s">
        <v>304</v>
      </c>
      <c r="B16" s="1000"/>
      <c r="C16" s="1000"/>
      <c r="D16" s="1000"/>
      <c r="E16" s="1000"/>
      <c r="F16" s="1000"/>
      <c r="G16" s="1000"/>
      <c r="H16" s="1000"/>
      <c r="I16" s="1000"/>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5">
    <tabColor rgb="FFFFFFCC"/>
  </sheetPr>
  <dimension ref="A1:G29"/>
  <sheetViews>
    <sheetView zoomScaleNormal="100" workbookViewId="0">
      <selection activeCell="B17" sqref="B17"/>
    </sheetView>
  </sheetViews>
  <sheetFormatPr defaultColWidth="9" defaultRowHeight="16.2"/>
  <cols>
    <col min="1" max="1" width="7.6640625" style="57" customWidth="1"/>
    <col min="2" max="2" width="32.21875" style="57" customWidth="1"/>
    <col min="3" max="3" width="6" style="57" customWidth="1"/>
    <col min="4" max="4" width="13.109375" style="57" customWidth="1"/>
    <col min="5" max="5" width="11.21875" style="57" bestFit="1" customWidth="1"/>
    <col min="6" max="6" width="13.109375" style="57" customWidth="1"/>
    <col min="7" max="7" width="11" style="57" customWidth="1"/>
    <col min="8" max="8" width="9.6640625" style="57" customWidth="1"/>
    <col min="9" max="9" width="7.44140625" style="57" customWidth="1"/>
    <col min="10" max="16384" width="9" style="57"/>
  </cols>
  <sheetData>
    <row r="1" spans="1:7" ht="24.6">
      <c r="A1" s="1067" t="s">
        <v>145</v>
      </c>
      <c r="B1" s="1067"/>
      <c r="C1" s="1067"/>
      <c r="D1" s="1067"/>
      <c r="E1" s="1067"/>
      <c r="F1" s="1067"/>
      <c r="G1" s="1067"/>
    </row>
    <row r="2" spans="1:7" ht="22.2">
      <c r="A2" s="1068" t="s">
        <v>146</v>
      </c>
      <c r="B2" s="1068"/>
      <c r="C2" s="1068"/>
      <c r="D2" s="1068"/>
      <c r="E2" s="1068"/>
      <c r="F2" s="1068"/>
      <c r="G2" s="1068"/>
    </row>
    <row r="3" spans="1:7" ht="22.2">
      <c r="A3" s="1069" t="s">
        <v>449</v>
      </c>
      <c r="B3" s="1069"/>
      <c r="C3" s="1069"/>
      <c r="D3" s="1069"/>
      <c r="E3" s="1069"/>
      <c r="F3" s="1069"/>
      <c r="G3" s="1069"/>
    </row>
    <row r="4" spans="1:7" ht="19.8">
      <c r="A4" s="1070" t="s">
        <v>1026</v>
      </c>
      <c r="B4" s="1070"/>
      <c r="C4" s="1070"/>
      <c r="D4" s="1070"/>
      <c r="E4" s="1070"/>
      <c r="F4" s="1070"/>
      <c r="G4" s="1070"/>
    </row>
    <row r="5" spans="1:7" ht="16.8" thickBot="1">
      <c r="A5" s="279"/>
      <c r="B5" s="279"/>
      <c r="C5" s="279"/>
      <c r="D5" s="279"/>
      <c r="E5" s="279"/>
      <c r="F5" s="279"/>
      <c r="G5" s="280" t="s">
        <v>641</v>
      </c>
    </row>
    <row r="6" spans="1:7" s="55" customFormat="1" ht="21" customHeight="1">
      <c r="A6" s="1076" t="s">
        <v>277</v>
      </c>
      <c r="B6" s="1077"/>
      <c r="C6" s="1080" t="s">
        <v>162</v>
      </c>
      <c r="D6" s="1073" t="s">
        <v>321</v>
      </c>
      <c r="E6" s="1074"/>
      <c r="F6" s="1075"/>
      <c r="G6" s="1082" t="s">
        <v>379</v>
      </c>
    </row>
    <row r="7" spans="1:7" s="55" customFormat="1" ht="21" customHeight="1">
      <c r="A7" s="1078"/>
      <c r="B7" s="1079"/>
      <c r="C7" s="1081"/>
      <c r="D7" s="56" t="s">
        <v>322</v>
      </c>
      <c r="E7" s="281" t="s">
        <v>351</v>
      </c>
      <c r="F7" s="56" t="s">
        <v>323</v>
      </c>
      <c r="G7" s="1083"/>
    </row>
    <row r="8" spans="1:7" s="240" customFormat="1" ht="30" customHeight="1">
      <c r="A8" s="282" t="s">
        <v>344</v>
      </c>
      <c r="B8" s="112"/>
      <c r="C8" s="112" t="s">
        <v>870</v>
      </c>
      <c r="D8" s="884">
        <f>SUM(D10:D18)</f>
        <v>479754</v>
      </c>
      <c r="E8" s="884">
        <f>(F8/D8)*1000</f>
        <v>1331.5344947618987</v>
      </c>
      <c r="F8" s="885">
        <f>SUM(F9)</f>
        <v>638809</v>
      </c>
      <c r="G8" s="239"/>
    </row>
    <row r="9" spans="1:7" s="242" customFormat="1" ht="30" customHeight="1">
      <c r="A9" s="247" t="s">
        <v>345</v>
      </c>
      <c r="B9" s="108"/>
      <c r="C9" s="108"/>
      <c r="D9" s="365"/>
      <c r="E9" s="365" t="s">
        <v>1039</v>
      </c>
      <c r="F9" s="365">
        <f>SUM(F10:F17)</f>
        <v>638809</v>
      </c>
      <c r="G9" s="216"/>
    </row>
    <row r="10" spans="1:7" s="242" customFormat="1" ht="30" customHeight="1">
      <c r="A10" s="247" t="s">
        <v>346</v>
      </c>
      <c r="B10" s="108"/>
      <c r="C10" s="112" t="s">
        <v>869</v>
      </c>
      <c r="D10" s="365">
        <v>98428</v>
      </c>
      <c r="E10" s="365"/>
      <c r="F10" s="365">
        <v>133722</v>
      </c>
      <c r="G10" s="218"/>
    </row>
    <row r="11" spans="1:7" s="242" customFormat="1" ht="30" customHeight="1">
      <c r="A11" s="247" t="s">
        <v>347</v>
      </c>
      <c r="B11" s="108"/>
      <c r="C11" s="112" t="s">
        <v>869</v>
      </c>
      <c r="D11" s="365">
        <v>32752</v>
      </c>
      <c r="E11" s="365"/>
      <c r="F11" s="365">
        <v>26202</v>
      </c>
      <c r="G11" s="219"/>
    </row>
    <row r="12" spans="1:7" s="242" customFormat="1" ht="30" customHeight="1">
      <c r="A12" s="247" t="s">
        <v>350</v>
      </c>
      <c r="B12" s="108"/>
      <c r="C12" s="112" t="s">
        <v>869</v>
      </c>
      <c r="D12" s="365">
        <v>4450</v>
      </c>
      <c r="E12" s="365"/>
      <c r="F12" s="365">
        <v>12460</v>
      </c>
      <c r="G12" s="218"/>
    </row>
    <row r="13" spans="1:7" s="242" customFormat="1" ht="30" customHeight="1">
      <c r="A13" s="247" t="s">
        <v>348</v>
      </c>
      <c r="B13" s="108"/>
      <c r="C13" s="112" t="s">
        <v>869</v>
      </c>
      <c r="D13" s="365">
        <v>161798</v>
      </c>
      <c r="E13" s="365"/>
      <c r="F13" s="365">
        <v>184565</v>
      </c>
      <c r="G13" s="219"/>
    </row>
    <row r="14" spans="1:7" s="242" customFormat="1" ht="30" customHeight="1">
      <c r="A14" s="238" t="s">
        <v>349</v>
      </c>
      <c r="B14" s="243"/>
      <c r="C14" s="112" t="s">
        <v>869</v>
      </c>
      <c r="D14" s="365">
        <v>165286</v>
      </c>
      <c r="E14" s="365"/>
      <c r="F14" s="365">
        <v>254790</v>
      </c>
      <c r="G14" s="219"/>
    </row>
    <row r="15" spans="1:7" s="242" customFormat="1" ht="30" customHeight="1">
      <c r="A15" s="238" t="s">
        <v>1027</v>
      </c>
      <c r="B15" s="243"/>
      <c r="C15" s="112" t="s">
        <v>869</v>
      </c>
      <c r="D15" s="365">
        <v>15000</v>
      </c>
      <c r="E15" s="365"/>
      <c r="F15" s="365">
        <v>25000</v>
      </c>
      <c r="G15" s="219"/>
    </row>
    <row r="16" spans="1:7" s="242" customFormat="1" ht="30" customHeight="1">
      <c r="A16" s="248" t="s">
        <v>983</v>
      </c>
      <c r="B16" s="123"/>
      <c r="C16" s="112" t="s">
        <v>869</v>
      </c>
      <c r="D16" s="365">
        <v>2020</v>
      </c>
      <c r="E16" s="365"/>
      <c r="F16" s="365">
        <v>2020</v>
      </c>
      <c r="G16" s="244"/>
    </row>
    <row r="17" spans="1:7" s="242" customFormat="1" ht="30" customHeight="1">
      <c r="A17" s="248" t="s">
        <v>984</v>
      </c>
      <c r="B17" s="755"/>
      <c r="C17" s="112" t="s">
        <v>974</v>
      </c>
      <c r="D17" s="365">
        <v>20</v>
      </c>
      <c r="E17" s="365"/>
      <c r="F17" s="365">
        <v>50</v>
      </c>
      <c r="G17" s="218"/>
    </row>
    <row r="18" spans="1:7" s="242" customFormat="1" ht="20.399999999999999" customHeight="1">
      <c r="A18" s="248" t="s">
        <v>985</v>
      </c>
      <c r="B18" s="755"/>
      <c r="C18" s="108"/>
      <c r="D18" s="246"/>
      <c r="E18" s="245"/>
      <c r="F18" s="245"/>
      <c r="G18" s="218"/>
    </row>
    <row r="19" spans="1:7" ht="30" customHeight="1">
      <c r="A19" s="217"/>
      <c r="B19" s="58"/>
      <c r="C19" s="58"/>
      <c r="D19" s="109"/>
      <c r="E19" s="61"/>
      <c r="F19" s="61"/>
      <c r="G19" s="220"/>
    </row>
    <row r="20" spans="1:7" ht="30" customHeight="1">
      <c r="A20" s="217"/>
      <c r="B20" s="58"/>
      <c r="C20" s="58"/>
      <c r="D20" s="109"/>
      <c r="E20" s="61"/>
      <c r="F20" s="61"/>
      <c r="G20" s="220"/>
    </row>
    <row r="21" spans="1:7" ht="30" customHeight="1">
      <c r="A21" s="217"/>
      <c r="B21" s="58"/>
      <c r="C21" s="58"/>
      <c r="D21" s="109"/>
      <c r="E21" s="61"/>
      <c r="F21" s="61"/>
      <c r="G21" s="220"/>
    </row>
    <row r="22" spans="1:7" ht="30" customHeight="1">
      <c r="A22" s="217"/>
      <c r="B22" s="58"/>
      <c r="C22" s="58"/>
      <c r="D22" s="109"/>
      <c r="E22" s="61"/>
      <c r="F22" s="61"/>
      <c r="G22" s="220"/>
    </row>
    <row r="23" spans="1:7" ht="30" customHeight="1">
      <c r="A23" s="217"/>
      <c r="B23" s="58"/>
      <c r="C23" s="58"/>
      <c r="D23" s="109"/>
      <c r="E23" s="61"/>
      <c r="F23" s="61"/>
      <c r="G23" s="220"/>
    </row>
    <row r="24" spans="1:7" ht="30" customHeight="1">
      <c r="A24" s="221"/>
      <c r="B24" s="65"/>
      <c r="C24" s="59"/>
      <c r="D24" s="30"/>
      <c r="E24" s="31"/>
      <c r="F24" s="30"/>
      <c r="G24" s="218"/>
    </row>
    <row r="25" spans="1:7" ht="30" customHeight="1">
      <c r="A25" s="221" t="s">
        <v>163</v>
      </c>
      <c r="B25" s="65"/>
      <c r="C25" s="65"/>
      <c r="D25" s="60"/>
      <c r="E25" s="30"/>
      <c r="F25" s="30"/>
      <c r="G25" s="218"/>
    </row>
    <row r="26" spans="1:7" ht="30" customHeight="1">
      <c r="A26" s="222"/>
      <c r="B26" s="58"/>
      <c r="C26" s="58"/>
      <c r="D26" s="60"/>
      <c r="E26" s="30"/>
      <c r="F26" s="30"/>
      <c r="G26" s="218"/>
    </row>
    <row r="27" spans="1:7" ht="30" customHeight="1">
      <c r="A27" s="223"/>
      <c r="B27" s="62"/>
      <c r="C27" s="62"/>
      <c r="D27" s="64"/>
      <c r="E27" s="63"/>
      <c r="F27" s="63"/>
      <c r="G27" s="224"/>
    </row>
    <row r="28" spans="1:7" s="103" customFormat="1" ht="30" customHeight="1">
      <c r="A28" s="1071"/>
      <c r="B28" s="1072"/>
      <c r="C28" s="110"/>
      <c r="D28" s="113"/>
      <c r="E28" s="111"/>
      <c r="F28" s="113"/>
      <c r="G28" s="225"/>
    </row>
    <row r="29" spans="1:7" ht="57" customHeight="1" thickBot="1">
      <c r="A29" s="226"/>
      <c r="B29" s="227"/>
      <c r="C29" s="227"/>
      <c r="D29" s="228"/>
      <c r="E29" s="228"/>
      <c r="F29" s="228"/>
      <c r="G29" s="229"/>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51181102362204722" footer="0.51181102362204722"/>
  <pageSetup paperSize="9" scale="93" firstPageNumber="19" orientation="portrait" blackAndWhite="1" useFirstPageNumber="1" r:id="rId1"/>
  <headerFooter scaleWithDoc="0" alignWithMargins="0">
    <oddFooter>&amp;C&amp;"Arial Unicode MS,標準"&amp;P</oddFooter>
  </headerFooter>
</worksheet>
</file>

<file path=xl/worksheets/sheet15.xml><?xml version="1.0" encoding="utf-8"?>
<worksheet xmlns="http://schemas.openxmlformats.org/spreadsheetml/2006/main" xmlns:r="http://schemas.openxmlformats.org/officeDocument/2006/relationships">
  <sheetPr>
    <tabColor rgb="FFFFFFCC"/>
  </sheetPr>
  <dimension ref="A1:H42"/>
  <sheetViews>
    <sheetView zoomScaleNormal="100" workbookViewId="0">
      <selection activeCell="A5" sqref="A5"/>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1055" t="s">
        <v>145</v>
      </c>
      <c r="B1" s="1055"/>
      <c r="C1" s="1055"/>
      <c r="D1" s="1055"/>
      <c r="E1" s="36"/>
      <c r="F1" s="36"/>
      <c r="G1" s="36"/>
      <c r="H1" s="36"/>
    </row>
    <row r="2" spans="1:8" ht="22.2">
      <c r="A2" s="1056" t="s">
        <v>146</v>
      </c>
      <c r="B2" s="1056"/>
      <c r="C2" s="1056"/>
      <c r="D2" s="1056"/>
      <c r="E2" s="37"/>
      <c r="F2" s="37"/>
      <c r="G2" s="37"/>
      <c r="H2" s="37"/>
    </row>
    <row r="3" spans="1:8" ht="22.2">
      <c r="A3" s="1057" t="s">
        <v>850</v>
      </c>
      <c r="B3" s="1057"/>
      <c r="C3" s="1057"/>
      <c r="D3" s="1057"/>
      <c r="E3" s="675"/>
      <c r="F3" s="675"/>
      <c r="G3" s="675"/>
      <c r="H3" s="675"/>
    </row>
    <row r="4" spans="1:8" ht="19.8">
      <c r="A4" s="1058" t="s">
        <v>1061</v>
      </c>
      <c r="B4" s="1058"/>
      <c r="C4" s="1058"/>
      <c r="D4" s="1058"/>
      <c r="E4" s="39"/>
      <c r="F4" s="39"/>
      <c r="G4" s="39"/>
      <c r="H4" s="39"/>
    </row>
    <row r="5" spans="1:8" ht="16.8" thickBot="1">
      <c r="A5" s="36"/>
      <c r="B5" s="36"/>
      <c r="C5" s="36"/>
      <c r="D5" s="91" t="s">
        <v>641</v>
      </c>
      <c r="E5" s="36"/>
      <c r="F5" s="41"/>
    </row>
    <row r="6" spans="1:8" s="41" customFormat="1" ht="21" customHeight="1">
      <c r="A6" s="1085" t="s">
        <v>352</v>
      </c>
      <c r="B6" s="1086"/>
      <c r="C6" s="1089" t="s">
        <v>354</v>
      </c>
      <c r="D6" s="1091" t="s">
        <v>353</v>
      </c>
    </row>
    <row r="7" spans="1:8" s="41" customFormat="1" ht="21" customHeight="1">
      <c r="A7" s="1087"/>
      <c r="B7" s="1088"/>
      <c r="C7" s="1090"/>
      <c r="D7" s="1092"/>
    </row>
    <row r="8" spans="1:8" s="51" customFormat="1" ht="30" customHeight="1">
      <c r="A8" s="683" t="s">
        <v>851</v>
      </c>
      <c r="B8" s="250"/>
      <c r="C8" s="251">
        <f>SUM(C9)</f>
        <v>1099</v>
      </c>
      <c r="D8" s="252"/>
      <c r="F8" s="85"/>
    </row>
    <row r="9" spans="1:8" s="51" customFormat="1" ht="30" customHeight="1">
      <c r="A9" s="249" t="s">
        <v>852</v>
      </c>
      <c r="B9" s="250"/>
      <c r="C9" s="241">
        <v>1099</v>
      </c>
      <c r="D9" s="252" t="s">
        <v>890</v>
      </c>
      <c r="F9" s="85"/>
    </row>
    <row r="10" spans="1:8" s="51" customFormat="1" ht="30" customHeight="1">
      <c r="A10" s="684"/>
      <c r="B10" s="69"/>
      <c r="C10" s="35"/>
      <c r="D10" s="274" t="s">
        <v>977</v>
      </c>
      <c r="E10" s="1084"/>
    </row>
    <row r="11" spans="1:8" s="51" customFormat="1" ht="30" customHeight="1">
      <c r="A11" s="230"/>
      <c r="B11" s="69"/>
      <c r="C11" s="35"/>
      <c r="D11" s="211"/>
      <c r="E11" s="1084"/>
    </row>
    <row r="12" spans="1:8" s="51" customFormat="1" ht="30" customHeight="1">
      <c r="A12" s="230"/>
      <c r="B12" s="69"/>
      <c r="C12" s="35"/>
      <c r="D12" s="236"/>
      <c r="E12" s="1084"/>
    </row>
    <row r="13" spans="1:8" s="51" customFormat="1" ht="30" customHeight="1">
      <c r="A13" s="230"/>
      <c r="B13" s="69"/>
      <c r="C13" s="35"/>
      <c r="D13" s="211"/>
      <c r="E13" s="1084"/>
    </row>
    <row r="14" spans="1:8" s="51" customFormat="1" ht="30" customHeight="1">
      <c r="A14" s="230"/>
      <c r="B14" s="69"/>
      <c r="C14" s="35"/>
      <c r="D14" s="211"/>
      <c r="E14" s="1084"/>
    </row>
    <row r="15" spans="1:8" s="51" customFormat="1" ht="30" customHeight="1">
      <c r="A15" s="198"/>
      <c r="B15" s="69"/>
      <c r="C15" s="35"/>
      <c r="D15" s="211"/>
      <c r="E15" s="1084"/>
    </row>
    <row r="16" spans="1:8" s="51" customFormat="1" ht="30" customHeight="1">
      <c r="A16" s="93"/>
      <c r="B16" s="69"/>
      <c r="C16" s="35"/>
      <c r="D16" s="213"/>
      <c r="E16" s="1084"/>
    </row>
    <row r="17" spans="1:5" s="51" customFormat="1" ht="30" customHeight="1">
      <c r="A17" s="230"/>
      <c r="B17" s="69"/>
      <c r="C17" s="35"/>
      <c r="D17" s="213"/>
      <c r="E17" s="1084"/>
    </row>
    <row r="18" spans="1:5" s="51" customFormat="1" ht="30" customHeight="1">
      <c r="A18" s="230"/>
      <c r="B18" s="69"/>
      <c r="C18" s="35"/>
      <c r="D18" s="211"/>
      <c r="E18" s="1084"/>
    </row>
    <row r="19" spans="1:5" s="51" customFormat="1" ht="30" customHeight="1">
      <c r="A19" s="230"/>
      <c r="B19" s="69"/>
      <c r="C19" s="35"/>
      <c r="D19" s="211"/>
    </row>
    <row r="20" spans="1:5" s="51" customFormat="1" ht="30" customHeight="1">
      <c r="A20" s="230"/>
      <c r="B20" s="69"/>
      <c r="C20" s="35"/>
      <c r="D20" s="211"/>
    </row>
    <row r="21" spans="1:5" s="51" customFormat="1" ht="30" customHeight="1">
      <c r="A21" s="230"/>
      <c r="B21" s="69"/>
      <c r="C21" s="35"/>
      <c r="D21" s="211"/>
    </row>
    <row r="22" spans="1:5" s="51" customFormat="1" ht="30" customHeight="1">
      <c r="A22" s="230"/>
      <c r="B22" s="69"/>
      <c r="C22" s="35"/>
      <c r="D22" s="211"/>
    </row>
    <row r="23" spans="1:5" s="51" customFormat="1" ht="30" customHeight="1">
      <c r="A23" s="230"/>
      <c r="B23" s="69"/>
      <c r="C23" s="35"/>
      <c r="D23" s="211"/>
    </row>
    <row r="24" spans="1:5" s="51" customFormat="1" ht="30" customHeight="1">
      <c r="A24" s="230"/>
      <c r="B24" s="69"/>
      <c r="C24" s="35"/>
      <c r="D24" s="211"/>
    </row>
    <row r="25" spans="1:5" s="51" customFormat="1" ht="30" customHeight="1">
      <c r="A25" s="230"/>
      <c r="B25" s="69"/>
      <c r="C25" s="35"/>
      <c r="D25" s="211"/>
    </row>
    <row r="26" spans="1:5" s="51" customFormat="1" ht="30" customHeight="1">
      <c r="A26" s="230"/>
      <c r="B26" s="69"/>
      <c r="C26" s="35"/>
      <c r="D26" s="211"/>
    </row>
    <row r="27" spans="1:5" s="51" customFormat="1" ht="30" customHeight="1">
      <c r="A27" s="230"/>
      <c r="B27" s="69"/>
      <c r="C27" s="35"/>
      <c r="D27" s="211"/>
    </row>
    <row r="28" spans="1:5" s="95" customFormat="1" ht="30" customHeight="1">
      <c r="A28" s="230"/>
      <c r="B28" s="66"/>
      <c r="C28" s="35"/>
      <c r="D28" s="231"/>
    </row>
    <row r="29" spans="1:5" ht="31.8" customHeight="1" thickBot="1">
      <c r="A29" s="232"/>
      <c r="B29" s="233"/>
      <c r="C29" s="234"/>
      <c r="D29" s="235"/>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row r="42" spans="1:4">
      <c r="A42" s="73"/>
      <c r="B42" s="73"/>
      <c r="C42" s="73"/>
      <c r="D42" s="73"/>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0" orientation="portrait" useFirstPageNumber="1" r:id="rId1"/>
  <headerFooter scaleWithDoc="0" alignWithMargins="0">
    <oddFooter>&amp;C&amp;"Arial Unicode MS,標準"&amp;P</oddFooter>
  </headerFooter>
</worksheet>
</file>

<file path=xl/worksheets/sheet16.xml><?xml version="1.0" encoding="utf-8"?>
<worksheet xmlns="http://schemas.openxmlformats.org/spreadsheetml/2006/main" xmlns:r="http://schemas.openxmlformats.org/officeDocument/2006/relationships">
  <sheetPr codeName="Sheet16">
    <tabColor rgb="FFFFFFCC"/>
  </sheetPr>
  <dimension ref="A1:H42"/>
  <sheetViews>
    <sheetView zoomScaleNormal="100" workbookViewId="0">
      <selection activeCell="A5" sqref="A5"/>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1055" t="s">
        <v>145</v>
      </c>
      <c r="B1" s="1055"/>
      <c r="C1" s="1055"/>
      <c r="D1" s="1055"/>
      <c r="E1" s="36"/>
      <c r="F1" s="36"/>
      <c r="G1" s="36"/>
      <c r="H1" s="36"/>
    </row>
    <row r="2" spans="1:8" ht="22.2">
      <c r="A2" s="1056" t="s">
        <v>146</v>
      </c>
      <c r="B2" s="1056"/>
      <c r="C2" s="1056"/>
      <c r="D2" s="1056"/>
      <c r="E2" s="37"/>
      <c r="F2" s="37"/>
      <c r="G2" s="37"/>
      <c r="H2" s="37"/>
    </row>
    <row r="3" spans="1:8" ht="22.2">
      <c r="A3" s="1057" t="s">
        <v>123</v>
      </c>
      <c r="B3" s="1057"/>
      <c r="C3" s="1057"/>
      <c r="D3" s="1057"/>
      <c r="E3" s="38"/>
      <c r="F3" s="38"/>
      <c r="G3" s="38"/>
      <c r="H3" s="38"/>
    </row>
    <row r="4" spans="1:8" ht="19.8">
      <c r="A4" s="1058" t="s">
        <v>1056</v>
      </c>
      <c r="B4" s="1058"/>
      <c r="C4" s="1058"/>
      <c r="D4" s="1058"/>
      <c r="E4" s="39"/>
      <c r="F4" s="39"/>
      <c r="G4" s="39"/>
      <c r="H4" s="39"/>
    </row>
    <row r="5" spans="1:8" ht="16.8" thickBot="1">
      <c r="A5" s="36"/>
      <c r="B5" s="36"/>
      <c r="C5" s="36"/>
      <c r="D5" s="91" t="s">
        <v>642</v>
      </c>
      <c r="E5" s="36"/>
      <c r="F5" s="41"/>
    </row>
    <row r="6" spans="1:8" s="41" customFormat="1" ht="21" customHeight="1">
      <c r="A6" s="1085" t="s">
        <v>352</v>
      </c>
      <c r="B6" s="1086"/>
      <c r="C6" s="1089" t="s">
        <v>354</v>
      </c>
      <c r="D6" s="1091" t="s">
        <v>353</v>
      </c>
    </row>
    <row r="7" spans="1:8" s="41" customFormat="1" ht="21" customHeight="1">
      <c r="A7" s="1087"/>
      <c r="B7" s="1088"/>
      <c r="C7" s="1090"/>
      <c r="D7" s="1092"/>
    </row>
    <row r="8" spans="1:8" s="51" customFormat="1" ht="30" customHeight="1">
      <c r="A8" s="283" t="s">
        <v>324</v>
      </c>
      <c r="B8" s="250"/>
      <c r="C8" s="251">
        <f>SUM(C9)</f>
        <v>1700</v>
      </c>
      <c r="D8" s="252"/>
      <c r="F8" s="85"/>
    </row>
    <row r="9" spans="1:8" s="51" customFormat="1" ht="30" customHeight="1">
      <c r="A9" s="249" t="s">
        <v>355</v>
      </c>
      <c r="B9" s="250"/>
      <c r="C9" s="241">
        <v>1700</v>
      </c>
      <c r="D9" s="252" t="s">
        <v>1062</v>
      </c>
      <c r="F9" s="85"/>
    </row>
    <row r="10" spans="1:8" s="51" customFormat="1" ht="30" customHeight="1">
      <c r="A10" s="230"/>
      <c r="B10" s="69"/>
      <c r="C10" s="35"/>
      <c r="D10" s="213"/>
      <c r="E10" s="1084"/>
    </row>
    <row r="11" spans="1:8" s="51" customFormat="1" ht="30" customHeight="1">
      <c r="A11" s="230"/>
      <c r="B11" s="69"/>
      <c r="C11" s="35"/>
      <c r="D11" s="211"/>
      <c r="E11" s="1084"/>
    </row>
    <row r="12" spans="1:8" s="51" customFormat="1" ht="30" customHeight="1">
      <c r="A12" s="230"/>
      <c r="B12" s="69"/>
      <c r="C12" s="35"/>
      <c r="D12" s="236"/>
      <c r="E12" s="1084"/>
    </row>
    <row r="13" spans="1:8" s="51" customFormat="1" ht="30" customHeight="1">
      <c r="A13" s="230"/>
      <c r="B13" s="69"/>
      <c r="C13" s="35"/>
      <c r="D13" s="211"/>
      <c r="E13" s="1084"/>
    </row>
    <row r="14" spans="1:8" s="51" customFormat="1" ht="30" customHeight="1">
      <c r="A14" s="230"/>
      <c r="B14" s="69"/>
      <c r="C14" s="35"/>
      <c r="D14" s="211"/>
      <c r="E14" s="1084"/>
    </row>
    <row r="15" spans="1:8" s="51" customFormat="1" ht="30" customHeight="1">
      <c r="A15" s="198"/>
      <c r="B15" s="69"/>
      <c r="C15" s="35"/>
      <c r="D15" s="211"/>
      <c r="E15" s="1084"/>
    </row>
    <row r="16" spans="1:8" s="51" customFormat="1" ht="30" customHeight="1">
      <c r="A16" s="93"/>
      <c r="B16" s="69"/>
      <c r="C16" s="35"/>
      <c r="D16" s="213"/>
      <c r="E16" s="1084"/>
    </row>
    <row r="17" spans="1:5" s="51" customFormat="1" ht="30" customHeight="1">
      <c r="A17" s="230"/>
      <c r="B17" s="69"/>
      <c r="C17" s="35"/>
      <c r="D17" s="213"/>
      <c r="E17" s="1084"/>
    </row>
    <row r="18" spans="1:5" s="51" customFormat="1" ht="30" customHeight="1">
      <c r="A18" s="230"/>
      <c r="B18" s="69"/>
      <c r="C18" s="35"/>
      <c r="D18" s="211"/>
      <c r="E18" s="1084"/>
    </row>
    <row r="19" spans="1:5" s="51" customFormat="1" ht="30" customHeight="1">
      <c r="A19" s="230"/>
      <c r="B19" s="69"/>
      <c r="C19" s="35"/>
      <c r="D19" s="211"/>
    </row>
    <row r="20" spans="1:5" s="51" customFormat="1" ht="30" customHeight="1">
      <c r="A20" s="230"/>
      <c r="B20" s="69"/>
      <c r="C20" s="35"/>
      <c r="D20" s="211"/>
    </row>
    <row r="21" spans="1:5" s="51" customFormat="1" ht="30" customHeight="1">
      <c r="A21" s="230"/>
      <c r="B21" s="69"/>
      <c r="C21" s="35"/>
      <c r="D21" s="211"/>
    </row>
    <row r="22" spans="1:5" s="51" customFormat="1" ht="30" customHeight="1">
      <c r="A22" s="230"/>
      <c r="B22" s="69"/>
      <c r="C22" s="35"/>
      <c r="D22" s="211"/>
    </row>
    <row r="23" spans="1:5" s="51" customFormat="1" ht="30" customHeight="1">
      <c r="A23" s="230"/>
      <c r="B23" s="69"/>
      <c r="C23" s="35"/>
      <c r="D23" s="211"/>
    </row>
    <row r="24" spans="1:5" s="51" customFormat="1" ht="30" customHeight="1">
      <c r="A24" s="230"/>
      <c r="B24" s="69"/>
      <c r="C24" s="35"/>
      <c r="D24" s="211"/>
    </row>
    <row r="25" spans="1:5" s="51" customFormat="1" ht="30" customHeight="1">
      <c r="A25" s="230"/>
      <c r="B25" s="69"/>
      <c r="C25" s="35"/>
      <c r="D25" s="211"/>
    </row>
    <row r="26" spans="1:5" s="51" customFormat="1" ht="30" customHeight="1">
      <c r="A26" s="230"/>
      <c r="B26" s="69"/>
      <c r="C26" s="35"/>
      <c r="D26" s="211"/>
    </row>
    <row r="27" spans="1:5" s="51" customFormat="1" ht="30" customHeight="1">
      <c r="A27" s="230"/>
      <c r="B27" s="69"/>
      <c r="C27" s="35"/>
      <c r="D27" s="211"/>
    </row>
    <row r="28" spans="1:5" s="95" customFormat="1" ht="30" customHeight="1">
      <c r="A28" s="230"/>
      <c r="B28" s="66"/>
      <c r="C28" s="35"/>
      <c r="D28" s="231"/>
    </row>
    <row r="29" spans="1:5" ht="33.6" customHeight="1" thickBot="1">
      <c r="A29" s="232"/>
      <c r="B29" s="233"/>
      <c r="C29" s="234"/>
      <c r="D29" s="235"/>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row r="42" spans="1:4">
      <c r="A42" s="73"/>
      <c r="B42" s="73"/>
      <c r="C42" s="73"/>
      <c r="D42" s="73"/>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1" orientation="portrait" useFirstPageNumber="1" r:id="rId1"/>
  <headerFooter scaleWithDoc="0" alignWithMargins="0">
    <oddFooter>&amp;C&amp;"Arial Unicode MS,標準"&amp;P</oddFooter>
  </headerFooter>
</worksheet>
</file>

<file path=xl/worksheets/sheet17.xml><?xml version="1.0" encoding="utf-8"?>
<worksheet xmlns="http://schemas.openxmlformats.org/spreadsheetml/2006/main" xmlns:r="http://schemas.openxmlformats.org/officeDocument/2006/relationships">
  <sheetPr>
    <tabColor rgb="FFFFFFCC"/>
  </sheetPr>
  <dimension ref="A1:H41"/>
  <sheetViews>
    <sheetView zoomScaleNormal="100" workbookViewId="0">
      <selection activeCell="D13" sqref="D13"/>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1055" t="s">
        <v>145</v>
      </c>
      <c r="B1" s="1055"/>
      <c r="C1" s="1055"/>
      <c r="D1" s="1055"/>
      <c r="E1" s="36"/>
      <c r="F1" s="36"/>
      <c r="G1" s="36"/>
      <c r="H1" s="36"/>
    </row>
    <row r="2" spans="1:8" ht="22.2">
      <c r="A2" s="1056" t="s">
        <v>146</v>
      </c>
      <c r="B2" s="1056"/>
      <c r="C2" s="1056"/>
      <c r="D2" s="1056"/>
      <c r="E2" s="37"/>
      <c r="F2" s="37"/>
      <c r="G2" s="37"/>
      <c r="H2" s="37"/>
    </row>
    <row r="3" spans="1:8" ht="22.2">
      <c r="A3" s="1057" t="s">
        <v>819</v>
      </c>
      <c r="B3" s="1057"/>
      <c r="C3" s="1057"/>
      <c r="D3" s="1057"/>
      <c r="E3" s="667"/>
      <c r="F3" s="667"/>
      <c r="G3" s="667"/>
      <c r="H3" s="667"/>
    </row>
    <row r="4" spans="1:8" ht="19.8">
      <c r="A4" s="1058" t="s">
        <v>1056</v>
      </c>
      <c r="B4" s="1058"/>
      <c r="C4" s="1058"/>
      <c r="D4" s="1058"/>
      <c r="E4" s="39"/>
      <c r="F4" s="39"/>
      <c r="G4" s="39"/>
      <c r="H4" s="39"/>
    </row>
    <row r="5" spans="1:8" ht="16.8" thickBot="1">
      <c r="A5" s="36"/>
      <c r="B5" s="36"/>
      <c r="C5" s="36"/>
      <c r="D5" s="91" t="s">
        <v>641</v>
      </c>
      <c r="E5" s="36"/>
      <c r="F5" s="41"/>
    </row>
    <row r="6" spans="1:8" s="41" customFormat="1" ht="21" customHeight="1">
      <c r="A6" s="1085" t="s">
        <v>352</v>
      </c>
      <c r="B6" s="1086"/>
      <c r="C6" s="1089" t="s">
        <v>354</v>
      </c>
      <c r="D6" s="1091" t="s">
        <v>353</v>
      </c>
    </row>
    <row r="7" spans="1:8" s="41" customFormat="1" ht="21" customHeight="1">
      <c r="A7" s="1087"/>
      <c r="B7" s="1088"/>
      <c r="C7" s="1090"/>
      <c r="D7" s="1092"/>
    </row>
    <row r="8" spans="1:8" s="51" customFormat="1" ht="30" customHeight="1">
      <c r="A8" s="283" t="s">
        <v>818</v>
      </c>
      <c r="B8" s="250"/>
      <c r="C8" s="251">
        <f>SUM(C9)</f>
        <v>2000</v>
      </c>
      <c r="D8" s="252"/>
      <c r="F8" s="85"/>
    </row>
    <row r="9" spans="1:8" s="51" customFormat="1" ht="38.25" customHeight="1">
      <c r="A9" s="249" t="s">
        <v>820</v>
      </c>
      <c r="B9" s="250"/>
      <c r="C9" s="241">
        <v>2000</v>
      </c>
      <c r="D9" s="236" t="s">
        <v>1100</v>
      </c>
      <c r="F9" s="85"/>
    </row>
    <row r="10" spans="1:8" s="51" customFormat="1" ht="30" customHeight="1">
      <c r="A10" s="230"/>
      <c r="B10" s="69"/>
      <c r="C10" s="35"/>
      <c r="D10" s="695" t="s">
        <v>1014</v>
      </c>
      <c r="E10" s="1084"/>
    </row>
    <row r="11" spans="1:8" s="51" customFormat="1" ht="30" customHeight="1">
      <c r="A11" s="230"/>
      <c r="B11" s="69"/>
      <c r="C11" s="35"/>
      <c r="D11" s="211"/>
      <c r="E11" s="1084"/>
    </row>
    <row r="12" spans="1:8" s="51" customFormat="1" ht="30" customHeight="1">
      <c r="A12" s="230"/>
      <c r="B12" s="69"/>
      <c r="C12" s="35"/>
      <c r="D12" s="236"/>
      <c r="E12" s="1084"/>
    </row>
    <row r="13" spans="1:8" s="51" customFormat="1" ht="30" customHeight="1">
      <c r="A13" s="230"/>
      <c r="B13" s="69"/>
      <c r="C13" s="35"/>
      <c r="D13" s="211"/>
      <c r="E13" s="1084"/>
    </row>
    <row r="14" spans="1:8" s="51" customFormat="1" ht="30" customHeight="1">
      <c r="A14" s="230"/>
      <c r="B14" s="69"/>
      <c r="C14" s="35"/>
      <c r="D14" s="211"/>
      <c r="E14" s="1084"/>
    </row>
    <row r="15" spans="1:8" s="51" customFormat="1" ht="30" customHeight="1">
      <c r="A15" s="198"/>
      <c r="B15" s="69"/>
      <c r="C15" s="35"/>
      <c r="D15" s="211"/>
      <c r="E15" s="1084"/>
    </row>
    <row r="16" spans="1:8" s="51" customFormat="1" ht="30" customHeight="1">
      <c r="A16" s="93"/>
      <c r="B16" s="69"/>
      <c r="C16" s="35"/>
      <c r="D16" s="213"/>
      <c r="E16" s="1084"/>
    </row>
    <row r="17" spans="1:5" s="51" customFormat="1" ht="30" customHeight="1">
      <c r="A17" s="230"/>
      <c r="B17" s="69"/>
      <c r="C17" s="35"/>
      <c r="D17" s="213"/>
      <c r="E17" s="1084"/>
    </row>
    <row r="18" spans="1:5" s="51" customFormat="1" ht="30" customHeight="1">
      <c r="A18" s="230"/>
      <c r="B18" s="69"/>
      <c r="C18" s="35"/>
      <c r="D18" s="211"/>
      <c r="E18" s="1084"/>
    </row>
    <row r="19" spans="1:5" s="51" customFormat="1" ht="30" customHeight="1">
      <c r="A19" s="230"/>
      <c r="B19" s="69"/>
      <c r="C19" s="35"/>
      <c r="D19" s="211"/>
    </row>
    <row r="20" spans="1:5" s="51" customFormat="1" ht="30" customHeight="1">
      <c r="A20" s="230"/>
      <c r="B20" s="69"/>
      <c r="C20" s="35"/>
      <c r="D20" s="211"/>
    </row>
    <row r="21" spans="1:5" s="51" customFormat="1" ht="30" customHeight="1">
      <c r="A21" s="230"/>
      <c r="B21" s="69"/>
      <c r="C21" s="35"/>
      <c r="D21" s="211"/>
    </row>
    <row r="22" spans="1:5" s="51" customFormat="1" ht="30" customHeight="1">
      <c r="A22" s="230"/>
      <c r="B22" s="69"/>
      <c r="C22" s="35"/>
      <c r="D22" s="211"/>
    </row>
    <row r="23" spans="1:5" s="51" customFormat="1" ht="30" customHeight="1">
      <c r="A23" s="230"/>
      <c r="B23" s="69"/>
      <c r="C23" s="35"/>
      <c r="D23" s="211"/>
    </row>
    <row r="24" spans="1:5" s="51" customFormat="1" ht="30" customHeight="1">
      <c r="A24" s="230"/>
      <c r="B24" s="69"/>
      <c r="C24" s="35"/>
      <c r="D24" s="211"/>
    </row>
    <row r="25" spans="1:5" s="51" customFormat="1" ht="30" customHeight="1">
      <c r="A25" s="230"/>
      <c r="B25" s="69"/>
      <c r="C25" s="35"/>
      <c r="D25" s="211"/>
    </row>
    <row r="26" spans="1:5" s="51" customFormat="1" ht="30" customHeight="1">
      <c r="A26" s="230"/>
      <c r="B26" s="69"/>
      <c r="C26" s="35"/>
      <c r="D26" s="211"/>
    </row>
    <row r="27" spans="1:5" s="95" customFormat="1" ht="30" customHeight="1">
      <c r="A27" s="230"/>
      <c r="B27" s="66"/>
      <c r="C27" s="35"/>
      <c r="D27" s="231"/>
    </row>
    <row r="28" spans="1:5" ht="49.5" customHeight="1" thickBot="1">
      <c r="A28" s="232"/>
      <c r="B28" s="233"/>
      <c r="C28" s="234"/>
      <c r="D28" s="235"/>
    </row>
    <row r="29" spans="1:5">
      <c r="A29" s="73"/>
      <c r="B29" s="73"/>
      <c r="C29" s="73"/>
      <c r="D29" s="73"/>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2" orientation="portrait" useFirstPageNumber="1" r:id="rId1"/>
  <headerFooter scaleWithDoc="0" alignWithMargins="0">
    <oddFooter>&amp;C&amp;"Arial Unicode MS,標準"&amp;P</oddFooter>
  </headerFooter>
</worksheet>
</file>

<file path=xl/worksheets/sheet18.xml><?xml version="1.0" encoding="utf-8"?>
<worksheet xmlns="http://schemas.openxmlformats.org/spreadsheetml/2006/main" xmlns:r="http://schemas.openxmlformats.org/officeDocument/2006/relationships">
  <sheetPr codeName="Sheet17">
    <tabColor rgb="FFFFFFCC"/>
  </sheetPr>
  <dimension ref="A1:L51"/>
  <sheetViews>
    <sheetView topLeftCell="A19" zoomScaleNormal="100" workbookViewId="0">
      <selection activeCell="C28" sqref="C28"/>
    </sheetView>
  </sheetViews>
  <sheetFormatPr defaultColWidth="9" defaultRowHeight="16.2"/>
  <cols>
    <col min="1" max="1" width="6.88671875" style="34" customWidth="1"/>
    <col min="2" max="2" width="15.88671875" style="34" customWidth="1"/>
    <col min="3" max="3" width="4.109375" style="34" customWidth="1"/>
    <col min="4" max="4" width="6.21875" style="34" customWidth="1"/>
    <col min="5" max="5" width="5" style="34" customWidth="1"/>
    <col min="6" max="6" width="10.77734375" style="34" customWidth="1"/>
    <col min="7" max="7" width="6.33203125" style="34" customWidth="1"/>
    <col min="8" max="8" width="4.6640625" style="34" customWidth="1"/>
    <col min="9" max="9" width="11.77734375" style="34" customWidth="1"/>
    <col min="10" max="10" width="5.77734375" style="34" customWidth="1"/>
    <col min="11" max="11" width="5" style="34" customWidth="1"/>
    <col min="12" max="12" width="10.77734375" style="34" customWidth="1"/>
    <col min="13" max="16384" width="9" style="34"/>
  </cols>
  <sheetData>
    <row r="1" spans="1:12" ht="24.6">
      <c r="A1" s="1023" t="s">
        <v>145</v>
      </c>
      <c r="B1" s="1023"/>
      <c r="C1" s="1023"/>
      <c r="D1" s="1023"/>
      <c r="E1" s="1023"/>
      <c r="F1" s="1023"/>
      <c r="G1" s="1023"/>
      <c r="H1" s="1023"/>
      <c r="I1" s="1023"/>
      <c r="J1" s="1023"/>
      <c r="K1" s="1023"/>
      <c r="L1" s="1023"/>
    </row>
    <row r="2" spans="1:12" ht="22.2">
      <c r="A2" s="1034" t="s">
        <v>146</v>
      </c>
      <c r="B2" s="1034"/>
      <c r="C2" s="1034"/>
      <c r="D2" s="1034"/>
      <c r="E2" s="1034"/>
      <c r="F2" s="1034"/>
      <c r="G2" s="1034"/>
      <c r="H2" s="1034"/>
      <c r="I2" s="1034"/>
      <c r="J2" s="1034"/>
      <c r="K2" s="1034"/>
      <c r="L2" s="1034"/>
    </row>
    <row r="3" spans="1:12" ht="22.2">
      <c r="A3" s="1033" t="s">
        <v>325</v>
      </c>
      <c r="B3" s="1033"/>
      <c r="C3" s="1033"/>
      <c r="D3" s="1033"/>
      <c r="E3" s="1033"/>
      <c r="F3" s="1033"/>
      <c r="G3" s="1033"/>
      <c r="H3" s="1033"/>
      <c r="I3" s="1033"/>
      <c r="J3" s="1033"/>
      <c r="K3" s="1033"/>
      <c r="L3" s="1033"/>
    </row>
    <row r="4" spans="1:12" ht="19.8">
      <c r="A4" s="1097" t="s">
        <v>1056</v>
      </c>
      <c r="B4" s="1097"/>
      <c r="C4" s="1097"/>
      <c r="D4" s="1097"/>
      <c r="E4" s="1097"/>
      <c r="F4" s="1097"/>
      <c r="G4" s="1097"/>
      <c r="H4" s="1097"/>
      <c r="I4" s="1097"/>
      <c r="J4" s="1097"/>
      <c r="K4" s="1097"/>
      <c r="L4" s="1097"/>
    </row>
    <row r="5" spans="1:12" ht="16.8" thickBot="1">
      <c r="A5" s="36"/>
      <c r="B5" s="36"/>
      <c r="C5" s="36"/>
      <c r="D5" s="36"/>
      <c r="E5" s="36"/>
      <c r="F5" s="91"/>
      <c r="G5" s="91"/>
      <c r="H5" s="91"/>
      <c r="I5" s="1095" t="s">
        <v>643</v>
      </c>
      <c r="J5" s="1096"/>
      <c r="K5" s="1096"/>
      <c r="L5" s="1096"/>
    </row>
    <row r="6" spans="1:12" s="45" customFormat="1" ht="23.25" customHeight="1">
      <c r="A6" s="1104" t="s">
        <v>277</v>
      </c>
      <c r="B6" s="1093"/>
      <c r="C6" s="1098" t="s">
        <v>278</v>
      </c>
      <c r="D6" s="1093" t="s">
        <v>357</v>
      </c>
      <c r="E6" s="1093"/>
      <c r="F6" s="1093"/>
      <c r="G6" s="1093" t="s">
        <v>358</v>
      </c>
      <c r="H6" s="1093"/>
      <c r="I6" s="1093"/>
      <c r="J6" s="1093" t="s">
        <v>359</v>
      </c>
      <c r="K6" s="1093"/>
      <c r="L6" s="1094"/>
    </row>
    <row r="7" spans="1:12" s="45" customFormat="1" ht="61.5" customHeight="1">
      <c r="A7" s="1105"/>
      <c r="B7" s="1106"/>
      <c r="C7" s="1099"/>
      <c r="D7" s="284" t="s">
        <v>279</v>
      </c>
      <c r="E7" s="285" t="s">
        <v>280</v>
      </c>
      <c r="F7" s="87" t="s">
        <v>281</v>
      </c>
      <c r="G7" s="284" t="s">
        <v>279</v>
      </c>
      <c r="H7" s="285" t="s">
        <v>280</v>
      </c>
      <c r="I7" s="87" t="s">
        <v>281</v>
      </c>
      <c r="J7" s="284" t="s">
        <v>279</v>
      </c>
      <c r="K7" s="285" t="s">
        <v>280</v>
      </c>
      <c r="L7" s="286" t="s">
        <v>281</v>
      </c>
    </row>
    <row r="8" spans="1:12" s="707" customFormat="1" ht="24.3" customHeight="1">
      <c r="A8" s="709" t="s">
        <v>219</v>
      </c>
      <c r="B8" s="706"/>
      <c r="C8" s="708" t="s">
        <v>869</v>
      </c>
      <c r="D8" s="931">
        <v>479754</v>
      </c>
      <c r="E8" s="809">
        <f>(F8/D8)*1000</f>
        <v>1310.5674991766614</v>
      </c>
      <c r="F8" s="932">
        <f>F9</f>
        <v>628750</v>
      </c>
      <c r="G8" s="939">
        <v>477411</v>
      </c>
      <c r="H8" s="809">
        <f>(I8/G8)*1000</f>
        <v>1284.3084889120696</v>
      </c>
      <c r="I8" s="932">
        <f>I9</f>
        <v>613143</v>
      </c>
      <c r="J8" s="939">
        <v>475810</v>
      </c>
      <c r="K8" s="809">
        <f>(L8/J8)*1000</f>
        <v>1179.1996805447552</v>
      </c>
      <c r="L8" s="940">
        <f>L9</f>
        <v>561075</v>
      </c>
    </row>
    <row r="9" spans="1:12" s="713" customFormat="1" ht="24.3" customHeight="1">
      <c r="A9" s="710" t="s">
        <v>356</v>
      </c>
      <c r="B9" s="711"/>
      <c r="C9" s="712"/>
      <c r="D9" s="810"/>
      <c r="E9" s="810"/>
      <c r="F9" s="933">
        <f>SUM(F10,F20,F23,F29)</f>
        <v>628750</v>
      </c>
      <c r="G9" s="811"/>
      <c r="H9" s="812"/>
      <c r="I9" s="933">
        <f>SUM(I10,I20,I23,I29)</f>
        <v>613143</v>
      </c>
      <c r="J9" s="812"/>
      <c r="K9" s="811"/>
      <c r="L9" s="941">
        <f>SUM(L10,L20,L23,L29)</f>
        <v>561075</v>
      </c>
    </row>
    <row r="10" spans="1:12" s="716" customFormat="1" ht="24.3" customHeight="1">
      <c r="A10" s="714" t="s">
        <v>284</v>
      </c>
      <c r="B10" s="715"/>
      <c r="C10" s="524"/>
      <c r="D10" s="813"/>
      <c r="E10" s="813"/>
      <c r="F10" s="934">
        <f>SUM(F11:F19)</f>
        <v>544960</v>
      </c>
      <c r="G10" s="814"/>
      <c r="H10" s="814"/>
      <c r="I10" s="934">
        <f>SUM(I11:I19)</f>
        <v>527997</v>
      </c>
      <c r="J10" s="814"/>
      <c r="K10" s="815"/>
      <c r="L10" s="942">
        <f>SUM(L11:L19)-1</f>
        <v>496992</v>
      </c>
    </row>
    <row r="11" spans="1:12" s="716" customFormat="1" ht="24.3" customHeight="1">
      <c r="A11" s="717" t="s">
        <v>142</v>
      </c>
      <c r="B11" s="718"/>
      <c r="C11" s="517"/>
      <c r="D11" s="792"/>
      <c r="E11" s="792"/>
      <c r="F11" s="792">
        <f>'42.各項費用彙計表(6級)'!F9</f>
        <v>12508</v>
      </c>
      <c r="G11" s="737"/>
      <c r="H11" s="737"/>
      <c r="I11" s="792">
        <v>12508</v>
      </c>
      <c r="J11" s="737"/>
      <c r="K11" s="816"/>
      <c r="L11" s="943">
        <v>11264</v>
      </c>
    </row>
    <row r="12" spans="1:12" s="716" customFormat="1" ht="24.3" customHeight="1">
      <c r="A12" s="717" t="s">
        <v>297</v>
      </c>
      <c r="B12" s="722"/>
      <c r="C12" s="723"/>
      <c r="D12" s="538"/>
      <c r="E12" s="538"/>
      <c r="F12" s="792">
        <f>'42.各項費用彙計表(6級)'!F10</f>
        <v>18282</v>
      </c>
      <c r="G12" s="737"/>
      <c r="H12" s="737"/>
      <c r="I12" s="792">
        <v>17975</v>
      </c>
      <c r="J12" s="737"/>
      <c r="K12" s="816"/>
      <c r="L12" s="943">
        <v>15985</v>
      </c>
    </row>
    <row r="13" spans="1:12" s="716" customFormat="1" ht="24.3" customHeight="1">
      <c r="A13" s="717" t="s">
        <v>298</v>
      </c>
      <c r="B13" s="722"/>
      <c r="C13" s="723"/>
      <c r="D13" s="538"/>
      <c r="E13" s="538"/>
      <c r="F13" s="792">
        <f>'42.各項費用彙計表(6級)'!F11</f>
        <v>4518</v>
      </c>
      <c r="G13" s="737"/>
      <c r="H13" s="737"/>
      <c r="I13" s="792">
        <v>4484</v>
      </c>
      <c r="J13" s="737"/>
      <c r="K13" s="816"/>
      <c r="L13" s="943">
        <v>4306</v>
      </c>
    </row>
    <row r="14" spans="1:12" s="716" customFormat="1" ht="24.3" customHeight="1">
      <c r="A14" s="717" t="s">
        <v>299</v>
      </c>
      <c r="B14" s="722"/>
      <c r="C14" s="723"/>
      <c r="D14" s="538"/>
      <c r="E14" s="538"/>
      <c r="F14" s="792">
        <f>'42.各項費用彙計表(6級)'!F12</f>
        <v>8948</v>
      </c>
      <c r="G14" s="737"/>
      <c r="H14" s="737"/>
      <c r="I14" s="792">
        <v>10311</v>
      </c>
      <c r="J14" s="737"/>
      <c r="K14" s="816"/>
      <c r="L14" s="943">
        <v>9226</v>
      </c>
    </row>
    <row r="15" spans="1:12" s="716" customFormat="1" ht="24.3" customHeight="1">
      <c r="A15" s="724" t="s">
        <v>300</v>
      </c>
      <c r="B15" s="722"/>
      <c r="C15" s="723"/>
      <c r="D15" s="538"/>
      <c r="E15" s="538"/>
      <c r="F15" s="792">
        <f>'42.各項費用彙計表(6級)'!F13</f>
        <v>25381</v>
      </c>
      <c r="G15" s="737"/>
      <c r="H15" s="737"/>
      <c r="I15" s="792">
        <v>15379</v>
      </c>
      <c r="J15" s="737"/>
      <c r="K15" s="816"/>
      <c r="L15" s="943">
        <v>18068</v>
      </c>
    </row>
    <row r="16" spans="1:12" s="716" customFormat="1" ht="24.3" customHeight="1">
      <c r="A16" s="724" t="s">
        <v>294</v>
      </c>
      <c r="B16" s="722"/>
      <c r="C16" s="723"/>
      <c r="D16" s="538"/>
      <c r="E16" s="538"/>
      <c r="F16" s="792">
        <f>'42.各項費用彙計表(6級)'!F14</f>
        <v>136</v>
      </c>
      <c r="G16" s="737"/>
      <c r="H16" s="737"/>
      <c r="I16" s="792">
        <v>155</v>
      </c>
      <c r="J16" s="737"/>
      <c r="K16" s="816"/>
      <c r="L16" s="943">
        <v>122</v>
      </c>
    </row>
    <row r="17" spans="1:12" s="716" customFormat="1" ht="24.3" customHeight="1">
      <c r="A17" s="1109" t="s">
        <v>283</v>
      </c>
      <c r="B17" s="1108"/>
      <c r="C17" s="725"/>
      <c r="D17" s="817"/>
      <c r="E17" s="817"/>
      <c r="F17" s="935">
        <f>'42.各項費用彙計表(6級)'!F15</f>
        <v>108345</v>
      </c>
      <c r="G17" s="814"/>
      <c r="H17" s="814"/>
      <c r="I17" s="935">
        <v>110454</v>
      </c>
      <c r="J17" s="814"/>
      <c r="K17" s="815"/>
      <c r="L17" s="944">
        <v>94033</v>
      </c>
    </row>
    <row r="18" spans="1:12" s="716" customFormat="1" ht="24.3" customHeight="1">
      <c r="A18" s="724" t="s">
        <v>285</v>
      </c>
      <c r="B18" s="726"/>
      <c r="C18" s="727"/>
      <c r="D18" s="818"/>
      <c r="E18" s="818"/>
      <c r="F18" s="935">
        <f>'42.各項費用彙計表(6級)'!F16</f>
        <v>366542</v>
      </c>
      <c r="G18" s="814"/>
      <c r="H18" s="814"/>
      <c r="I18" s="935">
        <v>356431</v>
      </c>
      <c r="J18" s="814"/>
      <c r="K18" s="815"/>
      <c r="L18" s="944">
        <v>343691</v>
      </c>
    </row>
    <row r="19" spans="1:12" s="716" customFormat="1" ht="24.3" customHeight="1">
      <c r="A19" s="724" t="s">
        <v>295</v>
      </c>
      <c r="B19" s="722"/>
      <c r="C19" s="723"/>
      <c r="D19" s="538"/>
      <c r="E19" s="538"/>
      <c r="F19" s="792">
        <f>'42.各項費用彙計表(6級)'!F17</f>
        <v>300</v>
      </c>
      <c r="G19" s="737"/>
      <c r="H19" s="737"/>
      <c r="I19" s="792">
        <v>300</v>
      </c>
      <c r="J19" s="737"/>
      <c r="K19" s="816"/>
      <c r="L19" s="943">
        <v>298</v>
      </c>
    </row>
    <row r="20" spans="1:12" s="730" customFormat="1" ht="24.3" customHeight="1">
      <c r="A20" s="1110" t="s">
        <v>286</v>
      </c>
      <c r="B20" s="1111"/>
      <c r="C20" s="728"/>
      <c r="D20" s="819"/>
      <c r="E20" s="819"/>
      <c r="F20" s="813">
        <f>SUM(F21:F22)</f>
        <v>27594</v>
      </c>
      <c r="G20" s="737"/>
      <c r="H20" s="737"/>
      <c r="I20" s="813">
        <f>SUM(I21:I22)</f>
        <v>27622</v>
      </c>
      <c r="J20" s="737"/>
      <c r="K20" s="816"/>
      <c r="L20" s="945">
        <f>SUM(L21:L22)</f>
        <v>18039</v>
      </c>
    </row>
    <row r="21" spans="1:12" s="730" customFormat="1" ht="24.3" customHeight="1">
      <c r="A21" s="731" t="s">
        <v>287</v>
      </c>
      <c r="B21" s="732"/>
      <c r="C21" s="728"/>
      <c r="D21" s="819"/>
      <c r="E21" s="819"/>
      <c r="F21" s="792">
        <f>'42.各項費用彙計表(6級)'!F19</f>
        <v>1041</v>
      </c>
      <c r="G21" s="737"/>
      <c r="H21" s="737"/>
      <c r="I21" s="792">
        <v>1069</v>
      </c>
      <c r="J21" s="737"/>
      <c r="K21" s="816"/>
      <c r="L21" s="943">
        <v>1023</v>
      </c>
    </row>
    <row r="22" spans="1:12" s="730" customFormat="1" ht="24.3" customHeight="1">
      <c r="A22" s="1107" t="s">
        <v>288</v>
      </c>
      <c r="B22" s="1108"/>
      <c r="C22" s="725"/>
      <c r="D22" s="725"/>
      <c r="E22" s="725"/>
      <c r="F22" s="517">
        <f>'42.各項費用彙計表(6級)'!F20</f>
        <v>26553</v>
      </c>
      <c r="G22" s="720"/>
      <c r="H22" s="720"/>
      <c r="I22" s="517">
        <v>26553</v>
      </c>
      <c r="J22" s="720"/>
      <c r="K22" s="721"/>
      <c r="L22" s="518">
        <v>17016</v>
      </c>
    </row>
    <row r="23" spans="1:12" s="730" customFormat="1" ht="24.3" customHeight="1">
      <c r="A23" s="714" t="s">
        <v>289</v>
      </c>
      <c r="B23" s="733"/>
      <c r="C23" s="734"/>
      <c r="D23" s="734"/>
      <c r="E23" s="734"/>
      <c r="F23" s="524">
        <f>SUM(F24:F28)</f>
        <v>16196</v>
      </c>
      <c r="G23" s="720"/>
      <c r="H23" s="720"/>
      <c r="I23" s="524">
        <f>SUM(I24:I28)</f>
        <v>15168</v>
      </c>
      <c r="J23" s="720"/>
      <c r="K23" s="721"/>
      <c r="L23" s="525">
        <f>SUM(L24:L28)</f>
        <v>16025</v>
      </c>
    </row>
    <row r="24" spans="1:12" s="730" customFormat="1" ht="24.3" hidden="1" customHeight="1">
      <c r="A24" s="724" t="s">
        <v>454</v>
      </c>
      <c r="B24" s="722"/>
      <c r="C24" s="723"/>
      <c r="D24" s="723"/>
      <c r="E24" s="723"/>
      <c r="F24" s="517">
        <v>0</v>
      </c>
      <c r="G24" s="720"/>
      <c r="H24" s="720"/>
      <c r="I24" s="517">
        <v>0</v>
      </c>
      <c r="J24" s="720"/>
      <c r="K24" s="721"/>
      <c r="L24" s="518">
        <v>0</v>
      </c>
    </row>
    <row r="25" spans="1:12" s="730" customFormat="1" ht="24.3" customHeight="1">
      <c r="A25" s="724" t="s">
        <v>296</v>
      </c>
      <c r="B25" s="722"/>
      <c r="C25" s="723"/>
      <c r="D25" s="723"/>
      <c r="E25" s="723"/>
      <c r="F25" s="517">
        <f>'42.各項費用彙計表(6級)'!F23</f>
        <v>2095</v>
      </c>
      <c r="G25" s="720"/>
      <c r="H25" s="720"/>
      <c r="I25" s="517">
        <v>1833</v>
      </c>
      <c r="J25" s="720"/>
      <c r="K25" s="721"/>
      <c r="L25" s="518">
        <v>2076</v>
      </c>
    </row>
    <row r="26" spans="1:12" s="730" customFormat="1" ht="24.3" customHeight="1">
      <c r="A26" s="724" t="s">
        <v>290</v>
      </c>
      <c r="B26" s="722"/>
      <c r="C26" s="723"/>
      <c r="D26" s="723"/>
      <c r="E26" s="723"/>
      <c r="F26" s="517">
        <f>'42.各項費用彙計表(6級)'!F24</f>
        <v>9284</v>
      </c>
      <c r="G26" s="720"/>
      <c r="H26" s="720"/>
      <c r="I26" s="517">
        <v>8492</v>
      </c>
      <c r="J26" s="720"/>
      <c r="K26" s="721"/>
      <c r="L26" s="518">
        <v>9213</v>
      </c>
    </row>
    <row r="27" spans="1:12" s="730" customFormat="1" ht="24.3" customHeight="1">
      <c r="A27" s="1100" t="s">
        <v>291</v>
      </c>
      <c r="B27" s="1101"/>
      <c r="C27" s="723"/>
      <c r="D27" s="723"/>
      <c r="E27" s="723"/>
      <c r="F27" s="459">
        <f>'42.各項費用彙計表(6級)'!F25</f>
        <v>4763</v>
      </c>
      <c r="G27" s="736"/>
      <c r="H27" s="736"/>
      <c r="I27" s="459">
        <v>4743</v>
      </c>
      <c r="J27" s="736"/>
      <c r="K27" s="721"/>
      <c r="L27" s="946">
        <v>4682</v>
      </c>
    </row>
    <row r="28" spans="1:12" s="730" customFormat="1" ht="24.3" customHeight="1">
      <c r="A28" s="1100" t="s">
        <v>452</v>
      </c>
      <c r="B28" s="1101"/>
      <c r="C28" s="723"/>
      <c r="D28" s="723"/>
      <c r="E28" s="723"/>
      <c r="F28" s="517">
        <f>'42.各項費用彙計表(6級)'!F26</f>
        <v>54</v>
      </c>
      <c r="G28" s="736"/>
      <c r="H28" s="736"/>
      <c r="I28" s="517">
        <v>100</v>
      </c>
      <c r="J28" s="736"/>
      <c r="K28" s="721"/>
      <c r="L28" s="946">
        <v>54</v>
      </c>
    </row>
    <row r="29" spans="1:12" s="730" customFormat="1" ht="24.3" customHeight="1">
      <c r="A29" s="714" t="s">
        <v>292</v>
      </c>
      <c r="B29" s="733"/>
      <c r="C29" s="734"/>
      <c r="D29" s="734"/>
      <c r="E29" s="734"/>
      <c r="F29" s="524">
        <f>SUM(F30:F31)</f>
        <v>40000</v>
      </c>
      <c r="G29" s="720"/>
      <c r="H29" s="720"/>
      <c r="I29" s="524">
        <f>SUM(I30:I31)</f>
        <v>42356</v>
      </c>
      <c r="J29" s="720"/>
      <c r="K29" s="721"/>
      <c r="L29" s="525">
        <f>SUM(L30:L31)</f>
        <v>30019</v>
      </c>
    </row>
    <row r="30" spans="1:12" s="730" customFormat="1" ht="33.6" customHeight="1">
      <c r="A30" s="1114" t="s">
        <v>1063</v>
      </c>
      <c r="B30" s="1115"/>
      <c r="C30" s="723"/>
      <c r="D30" s="723"/>
      <c r="E30" s="723"/>
      <c r="F30" s="936">
        <f>'42.各項費用彙計表(6級)'!F28</f>
        <v>19994</v>
      </c>
      <c r="G30" s="914"/>
      <c r="H30" s="914"/>
      <c r="I30" s="936">
        <f>'21-22.勞務成本明細7級'!B74</f>
        <v>21109</v>
      </c>
      <c r="J30" s="914"/>
      <c r="K30" s="915"/>
      <c r="L30" s="947">
        <v>16810</v>
      </c>
    </row>
    <row r="31" spans="1:12" s="730" customFormat="1" ht="24" customHeight="1">
      <c r="A31" s="1112" t="s">
        <v>293</v>
      </c>
      <c r="B31" s="1113"/>
      <c r="C31" s="916"/>
      <c r="D31" s="916"/>
      <c r="E31" s="916"/>
      <c r="F31" s="936">
        <f>'42.各項費用彙計表(6級)'!F29</f>
        <v>20006</v>
      </c>
      <c r="G31" s="914"/>
      <c r="H31" s="914"/>
      <c r="I31" s="936">
        <v>21247</v>
      </c>
      <c r="J31" s="914"/>
      <c r="K31" s="915"/>
      <c r="L31" s="947">
        <v>13209</v>
      </c>
    </row>
    <row r="32" spans="1:12" s="781" customFormat="1" ht="17.399999999999999" hidden="1" customHeight="1" thickBot="1">
      <c r="A32" s="779"/>
      <c r="B32" s="780"/>
      <c r="C32" s="738"/>
      <c r="D32" s="738"/>
      <c r="E32" s="738"/>
      <c r="F32" s="937"/>
      <c r="G32" s="739"/>
      <c r="H32" s="739"/>
      <c r="I32" s="937"/>
      <c r="J32" s="739"/>
      <c r="K32" s="740"/>
      <c r="L32" s="820"/>
    </row>
    <row r="33" spans="1:12" s="363" customFormat="1" ht="25.05" hidden="1" customHeight="1">
      <c r="A33" s="362"/>
      <c r="B33" s="360"/>
      <c r="C33" s="361"/>
      <c r="D33" s="361"/>
      <c r="E33" s="361"/>
      <c r="F33" s="365"/>
      <c r="G33" s="366"/>
      <c r="H33" s="366"/>
      <c r="I33" s="365"/>
      <c r="J33" s="366"/>
      <c r="K33" s="197"/>
      <c r="L33" s="468"/>
    </row>
    <row r="34" spans="1:12" s="363" customFormat="1" ht="25.05" hidden="1" customHeight="1">
      <c r="A34" s="362"/>
      <c r="B34" s="360"/>
      <c r="C34" s="361"/>
      <c r="D34" s="361"/>
      <c r="E34" s="361"/>
      <c r="F34" s="365"/>
      <c r="G34" s="366"/>
      <c r="H34" s="366"/>
      <c r="I34" s="365"/>
      <c r="J34" s="366"/>
      <c r="K34" s="197"/>
      <c r="L34" s="468"/>
    </row>
    <row r="35" spans="1:12" s="363" customFormat="1" ht="25.05" hidden="1" customHeight="1">
      <c r="A35" s="362"/>
      <c r="B35" s="360"/>
      <c r="C35" s="361"/>
      <c r="D35" s="361"/>
      <c r="E35" s="361"/>
      <c r="F35" s="365"/>
      <c r="G35" s="366"/>
      <c r="H35" s="366"/>
      <c r="I35" s="365"/>
      <c r="J35" s="366"/>
      <c r="K35" s="197"/>
      <c r="L35" s="468"/>
    </row>
    <row r="36" spans="1:12" s="363" customFormat="1" ht="25.05" hidden="1" customHeight="1">
      <c r="A36" s="362"/>
      <c r="B36" s="360"/>
      <c r="C36" s="361"/>
      <c r="D36" s="361"/>
      <c r="E36" s="361"/>
      <c r="F36" s="365"/>
      <c r="G36" s="366"/>
      <c r="H36" s="366"/>
      <c r="I36" s="365"/>
      <c r="J36" s="366"/>
      <c r="K36" s="197"/>
      <c r="L36" s="468"/>
    </row>
    <row r="37" spans="1:12" s="363" customFormat="1" ht="25.05" hidden="1" customHeight="1">
      <c r="A37" s="362"/>
      <c r="B37" s="360"/>
      <c r="C37" s="361"/>
      <c r="D37" s="361"/>
      <c r="E37" s="361"/>
      <c r="F37" s="365"/>
      <c r="G37" s="366"/>
      <c r="H37" s="366"/>
      <c r="I37" s="365"/>
      <c r="J37" s="366"/>
      <c r="K37" s="197"/>
      <c r="L37" s="468"/>
    </row>
    <row r="38" spans="1:12" s="363" customFormat="1" ht="25.05" hidden="1" customHeight="1">
      <c r="A38" s="362"/>
      <c r="B38" s="360"/>
      <c r="C38" s="361"/>
      <c r="D38" s="361"/>
      <c r="E38" s="361"/>
      <c r="F38" s="365"/>
      <c r="G38" s="366"/>
      <c r="H38" s="366"/>
      <c r="I38" s="365"/>
      <c r="J38" s="366"/>
      <c r="K38" s="197"/>
      <c r="L38" s="468"/>
    </row>
    <row r="39" spans="1:12" s="363" customFormat="1" ht="25.05" hidden="1" customHeight="1">
      <c r="A39" s="362"/>
      <c r="B39" s="360"/>
      <c r="C39" s="361"/>
      <c r="D39" s="361"/>
      <c r="E39" s="361"/>
      <c r="F39" s="365"/>
      <c r="G39" s="366"/>
      <c r="H39" s="366"/>
      <c r="I39" s="365"/>
      <c r="J39" s="366"/>
      <c r="K39" s="197"/>
      <c r="L39" s="468"/>
    </row>
    <row r="40" spans="1:12" s="363" customFormat="1" ht="25.05" hidden="1" customHeight="1">
      <c r="A40" s="362"/>
      <c r="B40" s="360"/>
      <c r="C40" s="361"/>
      <c r="D40" s="361"/>
      <c r="E40" s="361"/>
      <c r="F40" s="365"/>
      <c r="G40" s="366"/>
      <c r="H40" s="366"/>
      <c r="I40" s="365"/>
      <c r="J40" s="366"/>
      <c r="K40" s="197"/>
      <c r="L40" s="468"/>
    </row>
    <row r="41" spans="1:12" s="363" customFormat="1" ht="25.05" hidden="1" customHeight="1">
      <c r="A41" s="362"/>
      <c r="B41" s="360"/>
      <c r="C41" s="361"/>
      <c r="D41" s="361"/>
      <c r="E41" s="361"/>
      <c r="F41" s="365"/>
      <c r="G41" s="366"/>
      <c r="H41" s="366"/>
      <c r="I41" s="365"/>
      <c r="J41" s="366"/>
      <c r="K41" s="197"/>
      <c r="L41" s="468"/>
    </row>
    <row r="42" spans="1:12" s="363" customFormat="1" ht="25.05" hidden="1" customHeight="1">
      <c r="A42" s="362"/>
      <c r="B42" s="360"/>
      <c r="C42" s="361"/>
      <c r="D42" s="361"/>
      <c r="E42" s="361"/>
      <c r="F42" s="365"/>
      <c r="G42" s="366"/>
      <c r="H42" s="366"/>
      <c r="I42" s="365"/>
      <c r="J42" s="366"/>
      <c r="K42" s="197"/>
      <c r="L42" s="468"/>
    </row>
    <row r="43" spans="1:12" s="363" customFormat="1" ht="25.05" hidden="1" customHeight="1">
      <c r="A43" s="362"/>
      <c r="B43" s="360"/>
      <c r="C43" s="361"/>
      <c r="D43" s="361"/>
      <c r="E43" s="361"/>
      <c r="F43" s="365"/>
      <c r="G43" s="366"/>
      <c r="H43" s="366"/>
      <c r="I43" s="365"/>
      <c r="J43" s="366"/>
      <c r="K43" s="197"/>
      <c r="L43" s="468"/>
    </row>
    <row r="44" spans="1:12" s="363" customFormat="1" ht="25.05" hidden="1" customHeight="1">
      <c r="A44" s="362"/>
      <c r="B44" s="360"/>
      <c r="C44" s="361"/>
      <c r="D44" s="361"/>
      <c r="E44" s="361"/>
      <c r="F44" s="365"/>
      <c r="G44" s="366"/>
      <c r="H44" s="366"/>
      <c r="I44" s="365"/>
      <c r="J44" s="366"/>
      <c r="K44" s="197"/>
      <c r="L44" s="468"/>
    </row>
    <row r="45" spans="1:12" s="363" customFormat="1" ht="25.05" hidden="1" customHeight="1">
      <c r="A45" s="362"/>
      <c r="B45" s="360"/>
      <c r="C45" s="361"/>
      <c r="D45" s="361"/>
      <c r="E45" s="361"/>
      <c r="F45" s="365"/>
      <c r="G45" s="366"/>
      <c r="H45" s="366"/>
      <c r="I45" s="365"/>
      <c r="J45" s="366"/>
      <c r="K45" s="197"/>
      <c r="L45" s="468"/>
    </row>
    <row r="46" spans="1:12" s="363" customFormat="1" ht="25.05" hidden="1" customHeight="1">
      <c r="A46" s="362"/>
      <c r="B46" s="360"/>
      <c r="C46" s="361"/>
      <c r="D46" s="361"/>
      <c r="E46" s="361"/>
      <c r="F46" s="365"/>
      <c r="G46" s="366"/>
      <c r="H46" s="366"/>
      <c r="I46" s="365"/>
      <c r="J46" s="366"/>
      <c r="K46" s="197"/>
      <c r="L46" s="468"/>
    </row>
    <row r="47" spans="1:12" s="363" customFormat="1" ht="25.05" hidden="1" customHeight="1">
      <c r="A47" s="362"/>
      <c r="B47" s="360"/>
      <c r="C47" s="361"/>
      <c r="D47" s="361"/>
      <c r="E47" s="361"/>
      <c r="F47" s="365"/>
      <c r="G47" s="366"/>
      <c r="H47" s="366"/>
      <c r="I47" s="365"/>
      <c r="J47" s="366"/>
      <c r="K47" s="197"/>
      <c r="L47" s="468"/>
    </row>
    <row r="48" spans="1:12" s="363" customFormat="1" ht="25.05" hidden="1" customHeight="1">
      <c r="A48" s="362"/>
      <c r="B48" s="360"/>
      <c r="C48" s="361"/>
      <c r="D48" s="361"/>
      <c r="E48" s="361"/>
      <c r="F48" s="365"/>
      <c r="G48" s="366"/>
      <c r="H48" s="366"/>
      <c r="I48" s="365"/>
      <c r="J48" s="366"/>
      <c r="K48" s="197"/>
      <c r="L48" s="468"/>
    </row>
    <row r="49" spans="1:12" s="363" customFormat="1" ht="25.05" hidden="1" customHeight="1">
      <c r="A49" s="362"/>
      <c r="B49" s="360"/>
      <c r="C49" s="361"/>
      <c r="D49" s="361"/>
      <c r="E49" s="361"/>
      <c r="F49" s="365"/>
      <c r="G49" s="366"/>
      <c r="H49" s="366"/>
      <c r="I49" s="365"/>
      <c r="J49" s="366"/>
      <c r="K49" s="197"/>
      <c r="L49" s="468"/>
    </row>
    <row r="50" spans="1:12" s="363" customFormat="1" ht="24.75" hidden="1" customHeight="1">
      <c r="A50" s="362"/>
      <c r="B50" s="360"/>
      <c r="C50" s="361"/>
      <c r="D50" s="361"/>
      <c r="E50" s="361"/>
      <c r="F50" s="365"/>
      <c r="G50" s="366"/>
      <c r="H50" s="366"/>
      <c r="I50" s="365"/>
      <c r="J50" s="366"/>
      <c r="K50" s="197"/>
      <c r="L50" s="468"/>
    </row>
    <row r="51" spans="1:12" s="368" customFormat="1" ht="39" customHeight="1" thickBot="1">
      <c r="A51" s="1102" t="s">
        <v>439</v>
      </c>
      <c r="B51" s="1103"/>
      <c r="C51" s="367"/>
      <c r="D51" s="367"/>
      <c r="E51" s="367"/>
      <c r="F51" s="938">
        <f>F9</f>
        <v>628750</v>
      </c>
      <c r="G51" s="563"/>
      <c r="H51" s="563"/>
      <c r="I51" s="938">
        <f>I9</f>
        <v>613143</v>
      </c>
      <c r="J51" s="563"/>
      <c r="K51" s="564"/>
      <c r="L51" s="948">
        <f>L9</f>
        <v>561075</v>
      </c>
    </row>
  </sheetData>
  <mergeCells count="18">
    <mergeCell ref="A28:B28"/>
    <mergeCell ref="A51:B51"/>
    <mergeCell ref="A6:B7"/>
    <mergeCell ref="A22:B22"/>
    <mergeCell ref="A17:B17"/>
    <mergeCell ref="A20:B20"/>
    <mergeCell ref="A27:B27"/>
    <mergeCell ref="A31:B31"/>
    <mergeCell ref="A30:B30"/>
    <mergeCell ref="G6:I6"/>
    <mergeCell ref="J6:L6"/>
    <mergeCell ref="I5:L5"/>
    <mergeCell ref="A1:L1"/>
    <mergeCell ref="A2:L2"/>
    <mergeCell ref="A3:L3"/>
    <mergeCell ref="A4:L4"/>
    <mergeCell ref="C6:C7"/>
    <mergeCell ref="D6:F6"/>
  </mergeCells>
  <phoneticPr fontId="2" type="noConversion"/>
  <printOptions horizontalCentered="1"/>
  <pageMargins left="0.6692913385826772" right="0.6692913385826772" top="0.59055118110236227" bottom="0.78740157480314965" header="0.51181102362204722" footer="0.51181102362204722"/>
  <pageSetup paperSize="9" scale="94" firstPageNumber="23" orientation="portrait" blackAndWhite="1" useFirstPageNumber="1" r:id="rId1"/>
  <headerFooter scaleWithDoc="0" alignWithMargins="0">
    <oddFooter>&amp;C&amp;"Arial Unicode MS,標準"&amp;P</oddFooter>
  </headerFooter>
</worksheet>
</file>

<file path=xl/worksheets/sheet19.xml><?xml version="1.0" encoding="utf-8"?>
<worksheet xmlns="http://schemas.openxmlformats.org/spreadsheetml/2006/main" xmlns:r="http://schemas.openxmlformats.org/officeDocument/2006/relationships">
  <sheetPr>
    <tabColor indexed="42"/>
  </sheetPr>
  <dimension ref="A1:T100"/>
  <sheetViews>
    <sheetView view="pageBreakPreview" topLeftCell="A40" zoomScaleNormal="75" zoomScaleSheetLayoutView="100" workbookViewId="0">
      <selection activeCell="E75" sqref="E75:E77"/>
    </sheetView>
  </sheetViews>
  <sheetFormatPr defaultColWidth="9" defaultRowHeight="16.2"/>
  <cols>
    <col min="1" max="2" width="15.6640625" style="905" customWidth="1"/>
    <col min="3" max="3" width="7.6640625" style="84" customWidth="1"/>
    <col min="4" max="4" width="35.6640625" style="84" customWidth="1"/>
    <col min="5" max="5" width="15.6640625" style="905" customWidth="1"/>
    <col min="6" max="6" width="8.77734375" style="34" hidden="1" customWidth="1"/>
    <col min="7" max="7" width="9.33203125" style="153" bestFit="1" customWidth="1"/>
    <col min="8" max="8" width="11" style="34" bestFit="1" customWidth="1"/>
    <col min="9" max="9" width="11.109375" style="34" customWidth="1"/>
    <col min="10" max="10" width="11.21875" style="34" customWidth="1"/>
    <col min="11" max="11" width="11.44140625" style="34" customWidth="1"/>
    <col min="12" max="12" width="11" style="34" bestFit="1" customWidth="1"/>
    <col min="13" max="16384" width="9" style="34"/>
  </cols>
  <sheetData>
    <row r="1" spans="1:12" ht="24.6">
      <c r="A1" s="1118" t="s">
        <v>145</v>
      </c>
      <c r="B1" s="1118"/>
      <c r="C1" s="1118"/>
      <c r="D1" s="1118"/>
      <c r="E1" s="1118"/>
      <c r="F1" s="36"/>
    </row>
    <row r="2" spans="1:12" ht="22.2">
      <c r="A2" s="1119" t="s">
        <v>146</v>
      </c>
      <c r="B2" s="1119"/>
      <c r="C2" s="1119"/>
      <c r="D2" s="1119"/>
      <c r="E2" s="1119"/>
      <c r="F2" s="37"/>
      <c r="H2" s="472" t="s">
        <v>891</v>
      </c>
      <c r="L2" s="34">
        <v>649851</v>
      </c>
    </row>
    <row r="3" spans="1:12" ht="22.2">
      <c r="A3" s="1120" t="s">
        <v>325</v>
      </c>
      <c r="B3" s="1120"/>
      <c r="C3" s="1120"/>
      <c r="D3" s="1120"/>
      <c r="E3" s="1120"/>
      <c r="F3" s="700"/>
      <c r="H3" s="472" t="s">
        <v>687</v>
      </c>
      <c r="L3" s="34">
        <v>722237</v>
      </c>
    </row>
    <row r="4" spans="1:12" ht="19.8">
      <c r="A4" s="1121" t="s">
        <v>1022</v>
      </c>
      <c r="B4" s="1121"/>
      <c r="C4" s="1121"/>
      <c r="D4" s="1121"/>
      <c r="E4" s="1121"/>
      <c r="F4" s="39"/>
      <c r="H4" s="473">
        <f>581070/673806</f>
        <v>0.86236988094496037</v>
      </c>
    </row>
    <row r="5" spans="1:12" ht="16.8" thickBot="1">
      <c r="A5" s="1122" t="s">
        <v>641</v>
      </c>
      <c r="B5" s="1122"/>
      <c r="C5" s="1122"/>
      <c r="D5" s="1122"/>
      <c r="E5" s="1122"/>
      <c r="F5" s="41"/>
      <c r="H5" s="473" t="s">
        <v>892</v>
      </c>
      <c r="J5" s="34">
        <v>720932</v>
      </c>
    </row>
    <row r="6" spans="1:12" s="45" customFormat="1" ht="21" customHeight="1">
      <c r="A6" s="1123" t="s">
        <v>359</v>
      </c>
      <c r="B6" s="1123" t="s">
        <v>152</v>
      </c>
      <c r="C6" s="1125" t="s">
        <v>133</v>
      </c>
      <c r="D6" s="1126"/>
      <c r="E6" s="1129" t="s">
        <v>64</v>
      </c>
      <c r="F6" s="74"/>
      <c r="G6" s="154"/>
      <c r="H6" s="472" t="s">
        <v>686</v>
      </c>
      <c r="J6" s="474">
        <v>796446</v>
      </c>
      <c r="K6" s="45">
        <v>3100</v>
      </c>
      <c r="L6" s="532">
        <v>790445</v>
      </c>
    </row>
    <row r="7" spans="1:12" s="45" customFormat="1" ht="15.75" customHeight="1" thickBot="1">
      <c r="A7" s="1124"/>
      <c r="B7" s="1124"/>
      <c r="C7" s="1127"/>
      <c r="D7" s="1128"/>
      <c r="E7" s="1124"/>
      <c r="F7" s="75"/>
      <c r="G7" s="154"/>
      <c r="H7" s="472" t="s">
        <v>893</v>
      </c>
      <c r="I7" s="472" t="s">
        <v>894</v>
      </c>
      <c r="J7" s="45" t="s">
        <v>481</v>
      </c>
      <c r="K7" s="45" t="s">
        <v>895</v>
      </c>
    </row>
    <row r="8" spans="1:12" s="45" customFormat="1" ht="23.55" customHeight="1">
      <c r="A8" s="900">
        <f>SUM(A9,A51,A61,A73,A81,A89)</f>
        <v>561075</v>
      </c>
      <c r="B8" s="900">
        <f>SUM(B9,B51,B61,B73,B81,B89)</f>
        <v>613143</v>
      </c>
      <c r="C8" s="46" t="s">
        <v>166</v>
      </c>
      <c r="D8" s="47"/>
      <c r="E8" s="900">
        <f>SUM(E9,E51,E61,E73,E81,E89)</f>
        <v>628750</v>
      </c>
      <c r="F8" s="32" t="e">
        <f>#REF!+F9+F50+F60+F71+#REF!+#REF!+#REF!+#REF!</f>
        <v>#REF!</v>
      </c>
      <c r="G8" s="154">
        <f>E8/B8</f>
        <v>1.0254540947217858</v>
      </c>
      <c r="H8" s="32" t="e">
        <f>SUM(H9,H50,H60,H71,H78,H82)</f>
        <v>#REF!</v>
      </c>
      <c r="I8" s="32" t="e">
        <f>SUM(I9,I50,I60,I71,I78,I82)</f>
        <v>#REF!</v>
      </c>
      <c r="J8" s="32" t="e">
        <f>SUM(J9,J50,J60,J71,J78,J82)</f>
        <v>#REF!</v>
      </c>
      <c r="K8" s="32" t="e">
        <f>SUM(K9,K50,K60,K71,K78,K82)</f>
        <v>#REF!</v>
      </c>
    </row>
    <row r="9" spans="1:12" s="48" customFormat="1" ht="23.55" customHeight="1">
      <c r="A9" s="897">
        <f>SUM(A10,A14,A18,A22,A26,A31,A34,A39,A49)-1</f>
        <v>496992</v>
      </c>
      <c r="B9" s="897">
        <f>SUM(B10,B14,B18,B22,B26,B31,B34,B39,B49)</f>
        <v>527997</v>
      </c>
      <c r="C9" s="54" t="s">
        <v>134</v>
      </c>
      <c r="D9" s="42"/>
      <c r="E9" s="897">
        <f>SUM(E10,E14,E18,E22,E26,E31,E34,E39,E49)</f>
        <v>544960</v>
      </c>
      <c r="F9" s="25" t="e">
        <f>SUM(F10,F14,F18,F22,F39,F34,#REF!)</f>
        <v>#REF!</v>
      </c>
      <c r="G9" s="154">
        <f t="shared" ref="G9:G40" si="0">E9/B9</f>
        <v>1.0321270764796011</v>
      </c>
      <c r="H9" s="25">
        <f>SUM(H10,H14,H18,H22,H26,H31,H34,H39,H48)</f>
        <v>583302.02940360538</v>
      </c>
      <c r="I9" s="25">
        <f>SUM(I10,I14,I18,I22,I26,I31,I34,I39,I48)</f>
        <v>548052.93089110649</v>
      </c>
      <c r="J9" s="25">
        <f>SUM(J10,J14,J18,J22,J26,J31,J34,J39,J48)</f>
        <v>565677.48014735593</v>
      </c>
      <c r="K9" s="25">
        <f>SUM(K10,K14,K18,K22,K26,K31,K34,K39,K48)</f>
        <v>704355</v>
      </c>
    </row>
    <row r="10" spans="1:12" s="48" customFormat="1" ht="23.55" customHeight="1">
      <c r="A10" s="897">
        <f>SUM(A11:A13)+1</f>
        <v>11264</v>
      </c>
      <c r="B10" s="897">
        <f>SUM(B11:B13)</f>
        <v>12508</v>
      </c>
      <c r="C10" s="199" t="s">
        <v>142</v>
      </c>
      <c r="D10" s="42"/>
      <c r="E10" s="897">
        <f>SUM(E11:E13)</f>
        <v>12508</v>
      </c>
      <c r="F10" s="25">
        <f>SUM(F11:F12)</f>
        <v>0</v>
      </c>
      <c r="G10" s="154">
        <f t="shared" si="0"/>
        <v>1</v>
      </c>
      <c r="H10" s="25">
        <f>SUM(H11:H13)</f>
        <v>13818.150072406273</v>
      </c>
      <c r="I10" s="25">
        <f>SUM(I11:I13)</f>
        <v>12420.259967296053</v>
      </c>
      <c r="J10" s="25">
        <f>SUM(J11:J13)</f>
        <v>13119.205019851164</v>
      </c>
      <c r="K10" s="25">
        <f>SUM(K11:K13)</f>
        <v>15200</v>
      </c>
    </row>
    <row r="11" spans="1:12" s="48" customFormat="1" ht="23.55" customHeight="1">
      <c r="A11" s="897">
        <v>10853</v>
      </c>
      <c r="B11" s="897">
        <v>12000</v>
      </c>
      <c r="C11" s="49" t="s">
        <v>143</v>
      </c>
      <c r="D11" s="42"/>
      <c r="E11" s="897">
        <f>[4]概算版業內!$B$2/1000</f>
        <v>12000</v>
      </c>
      <c r="F11" s="25"/>
      <c r="G11" s="154">
        <f t="shared" si="0"/>
        <v>1</v>
      </c>
      <c r="H11" s="155">
        <f>B11/$J$5*$J$6</f>
        <v>13256.939628148008</v>
      </c>
      <c r="I11" s="155">
        <f>A11/$L$3*$J$6</f>
        <v>11968.132950818082</v>
      </c>
      <c r="J11" s="155">
        <f>(H11+I11)/2</f>
        <v>12612.536289483045</v>
      </c>
      <c r="K11" s="155">
        <v>14670</v>
      </c>
      <c r="L11" s="48">
        <f>12879521+677610</f>
        <v>13557131</v>
      </c>
    </row>
    <row r="12" spans="1:12" s="48" customFormat="1" ht="23.55" customHeight="1">
      <c r="A12" s="897">
        <v>316</v>
      </c>
      <c r="B12" s="897">
        <v>358</v>
      </c>
      <c r="C12" s="49" t="s">
        <v>144</v>
      </c>
      <c r="D12" s="42"/>
      <c r="E12" s="897">
        <f>[4]概算版業內!$C$2/1000</f>
        <v>358</v>
      </c>
      <c r="F12" s="25"/>
      <c r="G12" s="154">
        <f t="shared" si="0"/>
        <v>1</v>
      </c>
      <c r="H12" s="155">
        <f>B12/$J$5*$J$6</f>
        <v>395.49869890641554</v>
      </c>
      <c r="I12" s="155">
        <f>A12/$L$3*$J$6</f>
        <v>348.46862733424069</v>
      </c>
      <c r="J12" s="155">
        <f>(H12+I12)/2</f>
        <v>371.98366312032812</v>
      </c>
      <c r="K12" s="155">
        <v>380</v>
      </c>
      <c r="L12" s="48">
        <f>312615+32886</f>
        <v>345501</v>
      </c>
    </row>
    <row r="13" spans="1:12" s="48" customFormat="1" ht="23.55" customHeight="1">
      <c r="A13" s="897">
        <v>94</v>
      </c>
      <c r="B13" s="897">
        <v>150</v>
      </c>
      <c r="C13" s="44" t="s">
        <v>394</v>
      </c>
      <c r="D13" s="42"/>
      <c r="E13" s="897">
        <f>[4]概算版業內!$D$2/1000</f>
        <v>150</v>
      </c>
      <c r="F13" s="25"/>
      <c r="G13" s="154">
        <f t="shared" si="0"/>
        <v>1</v>
      </c>
      <c r="H13" s="155">
        <f>B13/$J$5*$J$6</f>
        <v>165.71174535185011</v>
      </c>
      <c r="I13" s="155">
        <f>A13/$L$3*$J$6</f>
        <v>103.65838914372983</v>
      </c>
      <c r="J13" s="155">
        <f t="shared" ref="J13:J49" si="1">(H13+I13)/2</f>
        <v>134.68506724778996</v>
      </c>
      <c r="K13" s="155">
        <v>150</v>
      </c>
    </row>
    <row r="14" spans="1:12" s="48" customFormat="1" ht="23.55" customHeight="1">
      <c r="A14" s="897">
        <f>SUM(A15:A17)-1</f>
        <v>15985</v>
      </c>
      <c r="B14" s="897">
        <f>SUM(B15:B17)</f>
        <v>17975</v>
      </c>
      <c r="C14" s="86" t="s">
        <v>93</v>
      </c>
      <c r="D14" s="43"/>
      <c r="E14" s="897">
        <f>SUM(E15:E17)</f>
        <v>18282</v>
      </c>
      <c r="F14" s="25">
        <f>SUM(F15:F16)</f>
        <v>0</v>
      </c>
      <c r="G14" s="154">
        <f t="shared" si="0"/>
        <v>1.0170792767732963</v>
      </c>
      <c r="H14" s="25">
        <f>SUM(H15:H17)</f>
        <v>19857.790817996705</v>
      </c>
      <c r="I14" s="25">
        <f>SUM(I15:I17)</f>
        <v>17628.542647358139</v>
      </c>
      <c r="J14" s="25">
        <f>SUM(J15:J17)</f>
        <v>18743.166732677422</v>
      </c>
      <c r="K14" s="25">
        <f>SUM(K15:K17)</f>
        <v>25000</v>
      </c>
    </row>
    <row r="15" spans="1:12" s="48" customFormat="1" ht="23.55" customHeight="1">
      <c r="A15" s="897">
        <v>11045</v>
      </c>
      <c r="B15" s="897">
        <v>12060</v>
      </c>
      <c r="C15" s="44" t="s">
        <v>896</v>
      </c>
      <c r="D15" s="43"/>
      <c r="E15" s="897">
        <f>[4]概算版業內!$E$2/1000</f>
        <v>11563</v>
      </c>
      <c r="G15" s="154">
        <f t="shared" si="0"/>
        <v>0.95878938640132672</v>
      </c>
      <c r="H15" s="155">
        <f>B15/$J$5*$J$6</f>
        <v>13323.224326288748</v>
      </c>
      <c r="I15" s="155">
        <f>A15/$L$3*$J$6</f>
        <v>12179.860724388256</v>
      </c>
      <c r="J15" s="155">
        <f t="shared" si="1"/>
        <v>12751.542525338502</v>
      </c>
      <c r="K15" s="155">
        <v>17500</v>
      </c>
    </row>
    <row r="16" spans="1:12" s="48" customFormat="1" ht="23.55" customHeight="1">
      <c r="A16" s="897">
        <v>1510</v>
      </c>
      <c r="B16" s="897">
        <v>2099</v>
      </c>
      <c r="C16" s="44" t="s">
        <v>396</v>
      </c>
      <c r="D16" s="43"/>
      <c r="E16" s="897">
        <f>[4]概算版業內!$F$2/1000</f>
        <v>2877</v>
      </c>
      <c r="G16" s="154">
        <f t="shared" si="0"/>
        <v>1.37065269175798</v>
      </c>
      <c r="H16" s="155">
        <f>B16/$J$5*$J$6</f>
        <v>2318.8596899568893</v>
      </c>
      <c r="I16" s="155">
        <f>A16/$L$3*$J$6</f>
        <v>1665.150719223745</v>
      </c>
      <c r="J16" s="155">
        <f t="shared" si="1"/>
        <v>1992.0052045903171</v>
      </c>
      <c r="K16" s="155">
        <v>2700</v>
      </c>
    </row>
    <row r="17" spans="1:12" s="48" customFormat="1" ht="23.55" customHeight="1">
      <c r="A17" s="897">
        <v>3431</v>
      </c>
      <c r="B17" s="897">
        <v>3816</v>
      </c>
      <c r="C17" s="44" t="s">
        <v>897</v>
      </c>
      <c r="D17" s="43"/>
      <c r="E17" s="897">
        <f>[4]概算版業內!$G$2/1000</f>
        <v>3842</v>
      </c>
      <c r="G17" s="154">
        <f t="shared" si="0"/>
        <v>1.0068134171907757</v>
      </c>
      <c r="H17" s="155">
        <f>B17/$J$5*$J$6</f>
        <v>4215.7068017510665</v>
      </c>
      <c r="I17" s="155">
        <f>A17/$L$3*$J$6</f>
        <v>3783.5312037461385</v>
      </c>
      <c r="J17" s="155">
        <f t="shared" si="1"/>
        <v>3999.6190027486027</v>
      </c>
      <c r="K17" s="155">
        <v>4800</v>
      </c>
      <c r="L17" s="48" t="s">
        <v>688</v>
      </c>
    </row>
    <row r="18" spans="1:12" s="48" customFormat="1" ht="23.55" customHeight="1">
      <c r="A18" s="897">
        <f>SUM(A19:A21)-1</f>
        <v>4306</v>
      </c>
      <c r="B18" s="897">
        <f>SUM(B19:B21)</f>
        <v>4484</v>
      </c>
      <c r="C18" s="86" t="s">
        <v>898</v>
      </c>
      <c r="D18" s="43"/>
      <c r="E18" s="897">
        <f>SUM(E19:E21)</f>
        <v>4518</v>
      </c>
      <c r="F18" s="25">
        <f>SUM(F19:F20)</f>
        <v>0</v>
      </c>
      <c r="G18" s="154">
        <f t="shared" si="0"/>
        <v>1.0075825156110616</v>
      </c>
      <c r="H18" s="25">
        <f>SUM(H19:H21)</f>
        <v>4953.676441051306</v>
      </c>
      <c r="I18" s="25">
        <f>SUM(I19:I21)</f>
        <v>4749.5391706600467</v>
      </c>
      <c r="J18" s="25">
        <f>SUM(J19:J21)</f>
        <v>4851.6078058556759</v>
      </c>
      <c r="K18" s="25">
        <f>SUM(K19:K21)</f>
        <v>7050</v>
      </c>
    </row>
    <row r="19" spans="1:12" s="48" customFormat="1" ht="23.55" customHeight="1">
      <c r="A19" s="897">
        <v>3615</v>
      </c>
      <c r="B19" s="897">
        <v>3467</v>
      </c>
      <c r="C19" s="44" t="s">
        <v>899</v>
      </c>
      <c r="D19" s="43"/>
      <c r="E19" s="897">
        <f>[4]概算版業內!$H$2/1000</f>
        <v>3467</v>
      </c>
      <c r="G19" s="154">
        <f t="shared" si="0"/>
        <v>1</v>
      </c>
      <c r="H19" s="155">
        <f>B19/$J$5*$J$6</f>
        <v>3830.1508075657625</v>
      </c>
      <c r="I19" s="155">
        <f>A19/$L$3*$J$6</f>
        <v>3986.4369867508867</v>
      </c>
      <c r="J19" s="155">
        <f t="shared" si="1"/>
        <v>3908.2938971583244</v>
      </c>
      <c r="K19" s="155">
        <v>4800</v>
      </c>
    </row>
    <row r="20" spans="1:12" s="48" customFormat="1" ht="23.55" customHeight="1">
      <c r="A20" s="897">
        <v>667</v>
      </c>
      <c r="B20" s="897">
        <v>987</v>
      </c>
      <c r="C20" s="671" t="s">
        <v>900</v>
      </c>
      <c r="D20" s="43"/>
      <c r="E20" s="897">
        <f>[4]概算版業內!$I$2/1000</f>
        <v>780</v>
      </c>
      <c r="G20" s="154">
        <f t="shared" si="0"/>
        <v>0.79027355623100304</v>
      </c>
      <c r="H20" s="155">
        <f>B20/$J$5*$J$6</f>
        <v>1090.3832844151736</v>
      </c>
      <c r="I20" s="155">
        <f>A20/$L$3*$J$6</f>
        <v>735.53346339221059</v>
      </c>
      <c r="J20" s="155">
        <f t="shared" si="1"/>
        <v>912.95837390369206</v>
      </c>
      <c r="K20" s="155">
        <v>1700</v>
      </c>
    </row>
    <row r="21" spans="1:12" s="48" customFormat="1" ht="23.55" customHeight="1">
      <c r="A21" s="897">
        <v>25</v>
      </c>
      <c r="B21" s="897">
        <v>30</v>
      </c>
      <c r="C21" s="44" t="s">
        <v>901</v>
      </c>
      <c r="D21" s="43"/>
      <c r="E21" s="897">
        <f>[4]概算版業內!$J$2/1000</f>
        <v>271</v>
      </c>
      <c r="G21" s="154">
        <f t="shared" si="0"/>
        <v>9.0333333333333332</v>
      </c>
      <c r="H21" s="155">
        <f>B21/$J$5*$J$6</f>
        <v>33.142349070370017</v>
      </c>
      <c r="I21" s="155">
        <f>A21/$L$3*$J$6</f>
        <v>27.568720516949419</v>
      </c>
      <c r="J21" s="155">
        <f t="shared" si="1"/>
        <v>30.355534793659718</v>
      </c>
      <c r="K21" s="155">
        <v>550</v>
      </c>
    </row>
    <row r="22" spans="1:12" s="48" customFormat="1" ht="23.55" customHeight="1">
      <c r="A22" s="897">
        <f>SUM(A23:A25)</f>
        <v>9226</v>
      </c>
      <c r="B22" s="897">
        <f>SUM(B23:B25)</f>
        <v>10311</v>
      </c>
      <c r="C22" s="86" t="s">
        <v>902</v>
      </c>
      <c r="D22" s="43"/>
      <c r="E22" s="897">
        <f>SUM(E23:E25)</f>
        <v>8948</v>
      </c>
      <c r="F22" s="25">
        <f>SUM(F23:F25)</f>
        <v>0</v>
      </c>
      <c r="G22" s="154">
        <f t="shared" si="0"/>
        <v>0.86781107555038306</v>
      </c>
      <c r="H22" s="25">
        <f>SUM(H23:H25)</f>
        <v>11391.025375486177</v>
      </c>
      <c r="I22" s="25">
        <f>SUM(I23:I25)</f>
        <v>10173.960619575013</v>
      </c>
      <c r="J22" s="25">
        <f>SUM(J23:J25)</f>
        <v>10782.492997530595</v>
      </c>
      <c r="K22" s="25">
        <f>SUM(K23:K25)</f>
        <v>15600</v>
      </c>
    </row>
    <row r="23" spans="1:12" s="48" customFormat="1" ht="23.55" customHeight="1">
      <c r="A23" s="897">
        <v>8065</v>
      </c>
      <c r="B23" s="897">
        <v>7815</v>
      </c>
      <c r="C23" s="44" t="s">
        <v>903</v>
      </c>
      <c r="D23" s="43"/>
      <c r="E23" s="897">
        <f>[4]概算版業內!$K$2/1000</f>
        <v>7815</v>
      </c>
      <c r="G23" s="154">
        <f t="shared" si="0"/>
        <v>1</v>
      </c>
      <c r="H23" s="155">
        <f>B23/$J$5*$J$6</f>
        <v>8633.5819328313901</v>
      </c>
      <c r="I23" s="155">
        <f>A23/$L$3*$J$6</f>
        <v>8893.6692387678831</v>
      </c>
      <c r="J23" s="155">
        <f t="shared" si="1"/>
        <v>8763.6255857996366</v>
      </c>
      <c r="K23" s="155">
        <v>12500</v>
      </c>
    </row>
    <row r="24" spans="1:12" s="48" customFormat="1" ht="23.55" customHeight="1">
      <c r="A24" s="897">
        <v>284</v>
      </c>
      <c r="B24" s="897">
        <v>1296</v>
      </c>
      <c r="C24" s="44" t="s">
        <v>904</v>
      </c>
      <c r="D24" s="43"/>
      <c r="E24" s="897">
        <f>[4]概算版業內!$L$2/1000</f>
        <v>233</v>
      </c>
      <c r="G24" s="154">
        <f t="shared" si="0"/>
        <v>0.17978395061728394</v>
      </c>
      <c r="H24" s="155">
        <f>B24/$J$5*$J$6</f>
        <v>1431.749479839985</v>
      </c>
      <c r="I24" s="155">
        <f>A24/$L$3*$J$6</f>
        <v>313.18066507254542</v>
      </c>
      <c r="J24" s="155">
        <f t="shared" si="1"/>
        <v>872.46507245626526</v>
      </c>
      <c r="K24" s="155">
        <v>1800</v>
      </c>
    </row>
    <row r="25" spans="1:12" s="48" customFormat="1" ht="23.55" customHeight="1">
      <c r="A25" s="897">
        <v>877</v>
      </c>
      <c r="B25" s="897">
        <v>1200</v>
      </c>
      <c r="C25" s="44" t="s">
        <v>905</v>
      </c>
      <c r="D25" s="43"/>
      <c r="E25" s="897">
        <f>[4]概算版業內!$M$2/1000</f>
        <v>900</v>
      </c>
      <c r="G25" s="154">
        <f t="shared" si="0"/>
        <v>0.75</v>
      </c>
      <c r="H25" s="155">
        <f>B25/$J$5*$J$6</f>
        <v>1325.6939628148009</v>
      </c>
      <c r="I25" s="155">
        <f>A25/$L$3*$J$6</f>
        <v>967.11071573458571</v>
      </c>
      <c r="J25" s="155">
        <f t="shared" si="1"/>
        <v>1146.4023392746933</v>
      </c>
      <c r="K25" s="155">
        <v>1300</v>
      </c>
    </row>
    <row r="26" spans="1:12" s="48" customFormat="1" ht="23.55" customHeight="1">
      <c r="A26" s="897">
        <f>SUM(A27:A30)</f>
        <v>18068</v>
      </c>
      <c r="B26" s="897">
        <f>SUM(B27:B30)</f>
        <v>15379</v>
      </c>
      <c r="C26" s="86" t="s">
        <v>906</v>
      </c>
      <c r="D26" s="43"/>
      <c r="E26" s="897">
        <f>SUM(E27:E30)</f>
        <v>25381</v>
      </c>
      <c r="G26" s="154">
        <f t="shared" si="0"/>
        <v>1.6503673840951947</v>
      </c>
      <c r="H26" s="25">
        <f>SUM(H27:H30)</f>
        <v>16989.872878440681</v>
      </c>
      <c r="I26" s="25">
        <f>SUM(I27:I30)</f>
        <v>19924.465692009686</v>
      </c>
      <c r="J26" s="25">
        <f>SUM(J27:J30)</f>
        <v>18457.169285225187</v>
      </c>
      <c r="K26" s="25">
        <f>SUM(K27:K30)</f>
        <v>14729</v>
      </c>
    </row>
    <row r="27" spans="1:12" s="48" customFormat="1" ht="23.55" customHeight="1">
      <c r="A27" s="897">
        <v>3223</v>
      </c>
      <c r="B27" s="897">
        <v>9848</v>
      </c>
      <c r="C27" s="44" t="s">
        <v>907</v>
      </c>
      <c r="D27" s="43"/>
      <c r="E27" s="897">
        <f>[4]概算版業內!$N$2/1000-3960</f>
        <v>7882</v>
      </c>
      <c r="G27" s="154">
        <f t="shared" si="0"/>
        <v>0.8003655564581641</v>
      </c>
      <c r="H27" s="155">
        <f>B27/$J$5*$J$6</f>
        <v>10879.528454833466</v>
      </c>
      <c r="I27" s="155">
        <f>A27/$L$3*$J$6</f>
        <v>3554.1594490451193</v>
      </c>
      <c r="J27" s="155">
        <f t="shared" si="1"/>
        <v>7216.8439519392923</v>
      </c>
      <c r="K27" s="155">
        <v>7500</v>
      </c>
      <c r="L27" s="48" t="s">
        <v>908</v>
      </c>
    </row>
    <row r="28" spans="1:12" s="48" customFormat="1" ht="23.55" customHeight="1">
      <c r="A28" s="897">
        <v>13971</v>
      </c>
      <c r="B28" s="897">
        <v>4847</v>
      </c>
      <c r="C28" s="44" t="s">
        <v>909</v>
      </c>
      <c r="D28" s="44"/>
      <c r="E28" s="897">
        <f>[4]概算版業內!$O$2/1000</f>
        <v>16777</v>
      </c>
      <c r="G28" s="154">
        <f t="shared" si="0"/>
        <v>3.4613162781101714</v>
      </c>
      <c r="H28" s="155">
        <f>B28/$J$5*$J$6</f>
        <v>5354.6988648027827</v>
      </c>
      <c r="I28" s="155">
        <f>A28/$L$3*$J$6</f>
        <v>15406.503773692015</v>
      </c>
      <c r="J28" s="155">
        <f t="shared" si="1"/>
        <v>10380.601319247398</v>
      </c>
      <c r="K28" s="155">
        <f>1219+4000</f>
        <v>5219</v>
      </c>
    </row>
    <row r="29" spans="1:12" s="48" customFormat="1" ht="23.55" customHeight="1">
      <c r="A29" s="897">
        <v>193</v>
      </c>
      <c r="B29" s="897">
        <v>260</v>
      </c>
      <c r="C29" s="44" t="s">
        <v>910</v>
      </c>
      <c r="D29" s="44"/>
      <c r="E29" s="897">
        <f>[4]概算版業內!$P$2/1000</f>
        <v>159</v>
      </c>
      <c r="G29" s="154">
        <f>E29/B29</f>
        <v>0.61153846153846159</v>
      </c>
      <c r="H29" s="155">
        <f>B29/$J$5*$J$6</f>
        <v>287.23369194320685</v>
      </c>
      <c r="I29" s="155">
        <f>A29/$L$3*$J$6</f>
        <v>212.83052239084952</v>
      </c>
      <c r="J29" s="155">
        <f t="shared" si="1"/>
        <v>250.03210716702819</v>
      </c>
      <c r="K29" s="155">
        <v>1060</v>
      </c>
      <c r="L29" s="48">
        <f>180150+876669</f>
        <v>1056819</v>
      </c>
    </row>
    <row r="30" spans="1:12" s="48" customFormat="1" ht="23.55" customHeight="1">
      <c r="A30" s="897">
        <v>681</v>
      </c>
      <c r="B30" s="897">
        <v>424</v>
      </c>
      <c r="C30" s="44" t="s">
        <v>911</v>
      </c>
      <c r="D30" s="44"/>
      <c r="E30" s="897">
        <f>[4]概算版業內!$Q$2/1000</f>
        <v>563</v>
      </c>
      <c r="G30" s="154">
        <f t="shared" si="0"/>
        <v>1.3278301886792452</v>
      </c>
      <c r="H30" s="155">
        <f>B30/$J$5*$J$6</f>
        <v>468.41186686122967</v>
      </c>
      <c r="I30" s="155">
        <f>A30/$L$3*$J$6</f>
        <v>750.97194688170225</v>
      </c>
      <c r="J30" s="155">
        <f t="shared" si="1"/>
        <v>609.69190687146602</v>
      </c>
      <c r="K30" s="155">
        <v>950</v>
      </c>
    </row>
    <row r="31" spans="1:12" s="48" customFormat="1" ht="23.55" customHeight="1">
      <c r="A31" s="897">
        <f>SUM(A32:A33)</f>
        <v>122</v>
      </c>
      <c r="B31" s="897">
        <f>SUM(B32:B33)</f>
        <v>155</v>
      </c>
      <c r="C31" s="86" t="s">
        <v>912</v>
      </c>
      <c r="D31" s="43"/>
      <c r="E31" s="897">
        <f>SUM(E32:E33)</f>
        <v>136</v>
      </c>
      <c r="G31" s="154">
        <f t="shared" si="0"/>
        <v>0.8774193548387097</v>
      </c>
      <c r="H31" s="25">
        <f>SUM(H32:H33)</f>
        <v>171.23547019691176</v>
      </c>
      <c r="I31" s="25">
        <f>SUM(I32:I33)</f>
        <v>134.53535612271315</v>
      </c>
      <c r="J31" s="25">
        <f>SUM(J32:J33)</f>
        <v>152.88541315981246</v>
      </c>
      <c r="K31" s="25">
        <f>SUM(K32:K33)</f>
        <v>176</v>
      </c>
    </row>
    <row r="32" spans="1:12" s="48" customFormat="1" ht="23.55" customHeight="1">
      <c r="A32" s="897">
        <v>4</v>
      </c>
      <c r="B32" s="897">
        <v>11</v>
      </c>
      <c r="C32" s="44" t="s">
        <v>913</v>
      </c>
      <c r="D32" s="43"/>
      <c r="E32" s="897">
        <f>[4]概算版業內!$R$2/1000</f>
        <v>6</v>
      </c>
      <c r="G32" s="154">
        <f t="shared" si="0"/>
        <v>0.54545454545454541</v>
      </c>
      <c r="H32" s="155">
        <f>B32/$J$5*$J$6</f>
        <v>12.152194659135674</v>
      </c>
      <c r="I32" s="155">
        <f>A32/$L$3*$J$6</f>
        <v>4.4109952827119079</v>
      </c>
      <c r="J32" s="155">
        <f t="shared" si="1"/>
        <v>8.2815949709237913</v>
      </c>
      <c r="K32" s="155">
        <v>16</v>
      </c>
    </row>
    <row r="33" spans="1:20" s="48" customFormat="1" ht="23.55" customHeight="1">
      <c r="A33" s="897">
        <v>118</v>
      </c>
      <c r="B33" s="897">
        <v>144</v>
      </c>
      <c r="C33" s="672" t="s">
        <v>914</v>
      </c>
      <c r="D33" s="43"/>
      <c r="E33" s="897">
        <f>[4]概算版業內!$S$2/1000</f>
        <v>130</v>
      </c>
      <c r="G33" s="154">
        <f t="shared" si="0"/>
        <v>0.90277777777777779</v>
      </c>
      <c r="H33" s="155">
        <f>B33/$J$5*$J$6</f>
        <v>159.0832755377761</v>
      </c>
      <c r="I33" s="155">
        <f>A33/$L$3*$J$6</f>
        <v>130.12436084000126</v>
      </c>
      <c r="J33" s="155">
        <f t="shared" si="1"/>
        <v>144.60381818888868</v>
      </c>
      <c r="K33" s="155">
        <v>160</v>
      </c>
    </row>
    <row r="34" spans="1:20" s="48" customFormat="1" ht="23.55" customHeight="1" thickBot="1">
      <c r="A34" s="897">
        <f>SUM(A35:A38)+1</f>
        <v>94033</v>
      </c>
      <c r="B34" s="897">
        <f>SUM(B35:B38)</f>
        <v>110454</v>
      </c>
      <c r="C34" s="1130" t="s">
        <v>915</v>
      </c>
      <c r="D34" s="1131"/>
      <c r="E34" s="897">
        <f>SUM(E35:E38)</f>
        <v>108345</v>
      </c>
      <c r="F34" s="25">
        <f>SUM(F35:F37)</f>
        <v>0</v>
      </c>
      <c r="G34" s="154">
        <f t="shared" si="0"/>
        <v>0.98090607854853606</v>
      </c>
      <c r="H34" s="25">
        <f>SUM(H35:H38)</f>
        <v>122023.50080728834</v>
      </c>
      <c r="I34" s="25">
        <f>SUM(I35:I38)</f>
        <v>103693.67710599152</v>
      </c>
      <c r="J34" s="25">
        <f>SUM(J35:J38)</f>
        <v>112858.58895663993</v>
      </c>
      <c r="K34" s="25">
        <f>SUM(K35:K38)</f>
        <v>143375</v>
      </c>
    </row>
    <row r="35" spans="1:20" s="48" customFormat="1" ht="23.55" customHeight="1">
      <c r="A35" s="908">
        <v>5601</v>
      </c>
      <c r="B35" s="908">
        <v>5953</v>
      </c>
      <c r="C35" s="1132" t="s">
        <v>916</v>
      </c>
      <c r="D35" s="1133"/>
      <c r="E35" s="908">
        <f>[4]概算版業內!$T$2/1000</f>
        <v>5652</v>
      </c>
      <c r="G35" s="154">
        <f t="shared" si="0"/>
        <v>0.9494372585251134</v>
      </c>
      <c r="H35" s="155">
        <f>B35/$J$5*$J$6</f>
        <v>6576.5468005304247</v>
      </c>
      <c r="I35" s="155">
        <f>A35/$L$3*$J$6</f>
        <v>6176.4961446173493</v>
      </c>
      <c r="J35" s="155">
        <f t="shared" si="1"/>
        <v>6376.521472573887</v>
      </c>
      <c r="K35" s="155">
        <v>10000</v>
      </c>
    </row>
    <row r="36" spans="1:20" s="48" customFormat="1" ht="23.55" customHeight="1">
      <c r="A36" s="897">
        <v>20528</v>
      </c>
      <c r="B36" s="897">
        <v>20984</v>
      </c>
      <c r="C36" s="1134" t="s">
        <v>917</v>
      </c>
      <c r="D36" s="1135"/>
      <c r="E36" s="897">
        <f>[4]概算版業內!$U$2/1000</f>
        <v>20984</v>
      </c>
      <c r="G36" s="154">
        <f t="shared" si="0"/>
        <v>1</v>
      </c>
      <c r="H36" s="155">
        <f>B36/$J$5*$J$6</f>
        <v>23181.968429754816</v>
      </c>
      <c r="I36" s="155">
        <f>A36/$L$3*$J$6</f>
        <v>22637.22779087751</v>
      </c>
      <c r="J36" s="155">
        <f t="shared" si="1"/>
        <v>22909.598110316161</v>
      </c>
      <c r="K36" s="155">
        <v>30000</v>
      </c>
    </row>
    <row r="37" spans="1:20" s="48" customFormat="1" ht="23.55" customHeight="1">
      <c r="A37" s="897">
        <v>16562</v>
      </c>
      <c r="B37" s="897">
        <v>20724</v>
      </c>
      <c r="C37" s="696" t="s">
        <v>918</v>
      </c>
      <c r="D37" s="486"/>
      <c r="E37" s="897">
        <f>[4]概算版業內!$V$2/1000</f>
        <v>20724</v>
      </c>
      <c r="G37" s="154">
        <f t="shared" si="0"/>
        <v>1</v>
      </c>
      <c r="H37" s="155">
        <f>B37/$J$5*$J$6</f>
        <v>22894.73473781161</v>
      </c>
      <c r="I37" s="155">
        <f>A37/$L$3*$J$6</f>
        <v>18263.725968068651</v>
      </c>
      <c r="J37" s="155">
        <f t="shared" si="1"/>
        <v>20579.230352940132</v>
      </c>
      <c r="K37" s="535">
        <f>7500+5650+12355+1117</f>
        <v>26622</v>
      </c>
      <c r="L37" s="533">
        <f>5168774+8374954+12355000+834283</f>
        <v>26733011</v>
      </c>
      <c r="M37" s="48" t="s">
        <v>919</v>
      </c>
      <c r="T37" s="48" t="s">
        <v>920</v>
      </c>
    </row>
    <row r="38" spans="1:20" s="48" customFormat="1" ht="23.55" customHeight="1">
      <c r="A38" s="897">
        <v>51341</v>
      </c>
      <c r="B38" s="897">
        <v>62793</v>
      </c>
      <c r="C38" s="673" t="s">
        <v>921</v>
      </c>
      <c r="D38" s="78"/>
      <c r="E38" s="897">
        <f>[4]概算版業內!$W$2/1000</f>
        <v>60985</v>
      </c>
      <c r="G38" s="154">
        <f t="shared" si="0"/>
        <v>0.97120698166993136</v>
      </c>
      <c r="H38" s="155">
        <f>B38/$J$5*$J$6</f>
        <v>69370.250839191489</v>
      </c>
      <c r="I38" s="155">
        <f>A38/$L$3*$J$6</f>
        <v>56616.227202428017</v>
      </c>
      <c r="J38" s="155">
        <f t="shared" si="1"/>
        <v>62993.239020809749</v>
      </c>
      <c r="K38" s="155">
        <v>76753</v>
      </c>
    </row>
    <row r="39" spans="1:20" s="48" customFormat="1" ht="23.55" customHeight="1">
      <c r="A39" s="897">
        <f>SUM(A40:A48)+1</f>
        <v>343691</v>
      </c>
      <c r="B39" s="897">
        <f>SUM(B40:B48)</f>
        <v>356431</v>
      </c>
      <c r="C39" s="86" t="s">
        <v>922</v>
      </c>
      <c r="D39" s="43"/>
      <c r="E39" s="897">
        <f>SUM(E40:E48)</f>
        <v>366542</v>
      </c>
      <c r="F39" s="25">
        <f>SUM(F47:F47)</f>
        <v>0</v>
      </c>
      <c r="G39" s="154">
        <f t="shared" si="0"/>
        <v>1.0283673417856471</v>
      </c>
      <c r="H39" s="25">
        <f>SUM(H40:H47)</f>
        <v>393765.35405003524</v>
      </c>
      <c r="I39" s="25">
        <f>SUM(I40:I47)</f>
        <v>378999.33118353121</v>
      </c>
      <c r="J39" s="25">
        <f>SUM(J40:J47)</f>
        <v>386382.34261678322</v>
      </c>
      <c r="K39" s="25">
        <f>SUM(K40:K47)</f>
        <v>482725</v>
      </c>
    </row>
    <row r="40" spans="1:20" s="48" customFormat="1" ht="23.55" customHeight="1">
      <c r="A40" s="897">
        <v>291</v>
      </c>
      <c r="B40" s="897">
        <v>52</v>
      </c>
      <c r="C40" s="43" t="s">
        <v>923</v>
      </c>
      <c r="D40" s="43"/>
      <c r="E40" s="897">
        <f>[4]概算版業內!$X$2/1000</f>
        <v>292</v>
      </c>
      <c r="F40" s="42"/>
      <c r="G40" s="154">
        <f t="shared" si="0"/>
        <v>5.615384615384615</v>
      </c>
      <c r="H40" s="155">
        <f t="shared" ref="H40:H47" si="2">B40/$J$5*$J$6</f>
        <v>57.446738388641371</v>
      </c>
      <c r="I40" s="155">
        <f t="shared" ref="I40:I47" si="3">A40/$L$3*$J$6</f>
        <v>320.89990681729125</v>
      </c>
      <c r="J40" s="155">
        <f t="shared" si="1"/>
        <v>189.17332260296632</v>
      </c>
      <c r="K40" s="155">
        <v>200</v>
      </c>
    </row>
    <row r="41" spans="1:20" s="48" customFormat="1" ht="23.55" customHeight="1">
      <c r="A41" s="897">
        <v>0</v>
      </c>
      <c r="B41" s="897">
        <v>20</v>
      </c>
      <c r="C41" s="43" t="s">
        <v>924</v>
      </c>
      <c r="D41" s="43"/>
      <c r="E41" s="897">
        <f>[4]概算版業內!$Y$2</f>
        <v>0</v>
      </c>
      <c r="F41" s="42"/>
      <c r="G41" s="154" t="e">
        <f>#REF!/B41</f>
        <v>#REF!</v>
      </c>
      <c r="H41" s="155">
        <f>B41/$J$5*$J$6</f>
        <v>22.09489938024668</v>
      </c>
      <c r="I41" s="155">
        <f t="shared" si="3"/>
        <v>0</v>
      </c>
      <c r="J41" s="155">
        <f t="shared" si="1"/>
        <v>11.04744969012334</v>
      </c>
      <c r="K41" s="155">
        <v>0</v>
      </c>
    </row>
    <row r="42" spans="1:20" s="48" customFormat="1" ht="23.55" customHeight="1">
      <c r="A42" s="897">
        <v>289</v>
      </c>
      <c r="B42" s="897">
        <v>0</v>
      </c>
      <c r="C42" s="43" t="s">
        <v>925</v>
      </c>
      <c r="D42" s="43"/>
      <c r="E42" s="897">
        <f>[4]概算版業內!$Z$2/1000</f>
        <v>133</v>
      </c>
      <c r="F42" s="42"/>
      <c r="G42" s="154" t="e">
        <f>#REF!/B42</f>
        <v>#REF!</v>
      </c>
      <c r="H42" s="155">
        <f>B42/$J$5*$J$6</f>
        <v>0</v>
      </c>
      <c r="I42" s="155">
        <f t="shared" si="3"/>
        <v>318.69440917593533</v>
      </c>
      <c r="J42" s="155">
        <f t="shared" si="1"/>
        <v>159.34720458796767</v>
      </c>
      <c r="K42" s="155"/>
    </row>
    <row r="43" spans="1:20" s="48" customFormat="1" ht="23.55" customHeight="1">
      <c r="A43" s="897">
        <v>2202</v>
      </c>
      <c r="B43" s="897">
        <v>2809</v>
      </c>
      <c r="C43" s="43" t="s">
        <v>926</v>
      </c>
      <c r="D43" s="43"/>
      <c r="E43" s="897">
        <f>[4]概算版業內!$AA$2/1000</f>
        <v>3146</v>
      </c>
      <c r="F43" s="42"/>
      <c r="G43" s="154"/>
      <c r="H43" s="155">
        <f>B43/$J$5*$J$6</f>
        <v>3103.2286179556463</v>
      </c>
      <c r="I43" s="155">
        <f>A43/$L$3*$J$6</f>
        <v>2428.2529031329054</v>
      </c>
      <c r="J43" s="155">
        <f>(H43+I43)/2</f>
        <v>2765.7407605442759</v>
      </c>
      <c r="K43" s="155">
        <f>3690+260+500</f>
        <v>4450</v>
      </c>
      <c r="L43" s="48" t="s">
        <v>927</v>
      </c>
    </row>
    <row r="44" spans="1:20" s="48" customFormat="1" ht="23.55" customHeight="1">
      <c r="A44" s="897">
        <v>1770</v>
      </c>
      <c r="B44" s="897">
        <v>600</v>
      </c>
      <c r="C44" s="43" t="s">
        <v>928</v>
      </c>
      <c r="D44" s="43"/>
      <c r="E44" s="897">
        <f>[4]概算版業內!$AB$2/1000</f>
        <v>2400</v>
      </c>
      <c r="F44" s="42"/>
      <c r="G44" s="154">
        <f t="shared" ref="G44:G57" si="4">E45/B44</f>
        <v>1.1216666666666666</v>
      </c>
      <c r="H44" s="155">
        <f t="shared" si="2"/>
        <v>662.84698140740045</v>
      </c>
      <c r="I44" s="155">
        <f t="shared" si="3"/>
        <v>1951.865412600019</v>
      </c>
      <c r="J44" s="155">
        <f t="shared" si="1"/>
        <v>1307.3561970037097</v>
      </c>
      <c r="K44" s="155">
        <v>200</v>
      </c>
    </row>
    <row r="45" spans="1:20" s="48" customFormat="1" ht="23.55" customHeight="1">
      <c r="A45" s="897">
        <v>1109</v>
      </c>
      <c r="B45" s="897">
        <v>689</v>
      </c>
      <c r="C45" s="43" t="s">
        <v>929</v>
      </c>
      <c r="D45" s="43"/>
      <c r="E45" s="897">
        <f>[4]概算版業內!$AC$2/1000</f>
        <v>673</v>
      </c>
      <c r="F45" s="42"/>
      <c r="G45" s="154">
        <f t="shared" si="4"/>
        <v>492.97677793904211</v>
      </c>
      <c r="H45" s="155">
        <f t="shared" si="2"/>
        <v>761.16928364949808</v>
      </c>
      <c r="I45" s="155">
        <f t="shared" si="3"/>
        <v>1222.9484421318764</v>
      </c>
      <c r="J45" s="155">
        <f t="shared" si="1"/>
        <v>992.05886289068724</v>
      </c>
      <c r="K45" s="155">
        <f>479248-7937</f>
        <v>471311</v>
      </c>
      <c r="L45" s="534" t="e">
        <f>L6-K93</f>
        <v>#REF!</v>
      </c>
    </row>
    <row r="46" spans="1:20" s="51" customFormat="1" ht="23.55" customHeight="1">
      <c r="A46" s="897">
        <v>321655</v>
      </c>
      <c r="B46" s="897">
        <v>332585</v>
      </c>
      <c r="C46" s="43" t="s">
        <v>930</v>
      </c>
      <c r="D46" s="43"/>
      <c r="E46" s="897">
        <f>[4]概算版業內!$AD$2/1000</f>
        <v>339661</v>
      </c>
      <c r="G46" s="154">
        <f t="shared" si="4"/>
        <v>6.0847602868439647E-2</v>
      </c>
      <c r="H46" s="155">
        <f>B46/$J$5*$J$6</f>
        <v>367421.60551896709</v>
      </c>
      <c r="I46" s="155">
        <f t="shared" si="3"/>
        <v>354704.67191517469</v>
      </c>
      <c r="J46" s="155">
        <f t="shared" si="1"/>
        <v>361063.13871707092</v>
      </c>
      <c r="K46" s="155">
        <f>6364</f>
        <v>6364</v>
      </c>
    </row>
    <row r="47" spans="1:20" s="51" customFormat="1" ht="23.55" customHeight="1">
      <c r="A47" s="897">
        <v>16370</v>
      </c>
      <c r="B47" s="897">
        <v>19676</v>
      </c>
      <c r="C47" s="896" t="s">
        <v>1082</v>
      </c>
      <c r="D47" s="43"/>
      <c r="E47" s="897">
        <f>[4]概算版業內!$AE$2/1000</f>
        <v>20237</v>
      </c>
      <c r="G47" s="154">
        <f t="shared" si="4"/>
        <v>0</v>
      </c>
      <c r="H47" s="155">
        <f t="shared" si="2"/>
        <v>21736.962010286687</v>
      </c>
      <c r="I47" s="155">
        <f t="shared" si="3"/>
        <v>18051.998194498479</v>
      </c>
      <c r="J47" s="155">
        <f t="shared" si="1"/>
        <v>19894.480102392583</v>
      </c>
      <c r="K47" s="155">
        <v>200</v>
      </c>
      <c r="L47" s="51" t="s">
        <v>931</v>
      </c>
    </row>
    <row r="48" spans="1:20" s="51" customFormat="1" ht="23.55" customHeight="1">
      <c r="A48" s="897">
        <v>4</v>
      </c>
      <c r="B48" s="897">
        <v>0</v>
      </c>
      <c r="C48" s="43" t="s">
        <v>932</v>
      </c>
      <c r="D48" s="43"/>
      <c r="E48" s="897">
        <v>0</v>
      </c>
      <c r="G48" s="154" t="e">
        <f t="shared" si="4"/>
        <v>#DIV/0!</v>
      </c>
      <c r="H48" s="114">
        <f>SUM(H49)</f>
        <v>331.42349070370022</v>
      </c>
      <c r="I48" s="114">
        <f>SUM(I49)</f>
        <v>328.61914856203714</v>
      </c>
      <c r="J48" s="114">
        <f>SUM(J49)</f>
        <v>330.02131963286865</v>
      </c>
      <c r="K48" s="114">
        <f>SUM(K49)</f>
        <v>500</v>
      </c>
    </row>
    <row r="49" spans="1:12" s="51" customFormat="1" ht="23.55" customHeight="1">
      <c r="A49" s="897">
        <f>SUM(A50)</f>
        <v>298</v>
      </c>
      <c r="B49" s="897">
        <f>SUM(B50)</f>
        <v>300</v>
      </c>
      <c r="C49" s="86" t="s">
        <v>933</v>
      </c>
      <c r="D49" s="43"/>
      <c r="E49" s="897">
        <f>SUM(E50)</f>
        <v>300</v>
      </c>
      <c r="G49" s="154">
        <f t="shared" si="4"/>
        <v>1</v>
      </c>
      <c r="H49" s="155">
        <f>B49/$J$5*$J$6</f>
        <v>331.42349070370022</v>
      </c>
      <c r="I49" s="155">
        <f>A49/$L$3*$J$6</f>
        <v>328.61914856203714</v>
      </c>
      <c r="J49" s="155">
        <f t="shared" si="1"/>
        <v>330.02131963286865</v>
      </c>
      <c r="K49" s="155">
        <v>500</v>
      </c>
    </row>
    <row r="50" spans="1:12" s="51" customFormat="1" ht="23.55" customHeight="1">
      <c r="A50" s="897">
        <v>298</v>
      </c>
      <c r="B50" s="897">
        <f>500-200</f>
        <v>300</v>
      </c>
      <c r="C50" s="43" t="s">
        <v>934</v>
      </c>
      <c r="D50" s="43"/>
      <c r="E50" s="897">
        <f>[4]概算版業內!$AF$2/1000</f>
        <v>300</v>
      </c>
      <c r="F50" s="25">
        <f>F54</f>
        <v>0</v>
      </c>
      <c r="G50" s="154">
        <f t="shared" si="4"/>
        <v>91.98</v>
      </c>
      <c r="H50" s="25">
        <f>SUM(H51,H54)</f>
        <v>57367.196750872477</v>
      </c>
      <c r="I50" s="25">
        <f>SUM(I51,I54)</f>
        <v>38193.705404181725</v>
      </c>
      <c r="J50" s="25">
        <f>SUM(J51,J54)</f>
        <v>47780.451077527097</v>
      </c>
      <c r="K50" s="25">
        <f>SUM(K51,K54)</f>
        <v>32250</v>
      </c>
    </row>
    <row r="51" spans="1:12" s="51" customFormat="1" ht="23.55" customHeight="1">
      <c r="A51" s="897">
        <f>A52+A55</f>
        <v>18039</v>
      </c>
      <c r="B51" s="897">
        <f>B52+B55</f>
        <v>27622</v>
      </c>
      <c r="C51" s="1116" t="s">
        <v>935</v>
      </c>
      <c r="D51" s="1117"/>
      <c r="E51" s="897">
        <f>E52+E55</f>
        <v>27594</v>
      </c>
      <c r="F51" s="25"/>
      <c r="G51" s="154">
        <f t="shared" si="4"/>
        <v>3.7687350662515384E-2</v>
      </c>
      <c r="H51" s="25">
        <f>SUM(H52:H53)</f>
        <v>1406.3403455527011</v>
      </c>
      <c r="I51" s="25">
        <f>SUM(I52:I53)</f>
        <v>1340.94256594442</v>
      </c>
      <c r="J51" s="25">
        <f>SUM(J52:J53)</f>
        <v>1373.6414557485607</v>
      </c>
      <c r="K51" s="25">
        <f>SUM(K52:K53)</f>
        <v>1500</v>
      </c>
    </row>
    <row r="52" spans="1:12" s="51" customFormat="1" ht="23.55" customHeight="1">
      <c r="A52" s="897">
        <f>SUM(A53:A54)</f>
        <v>1023</v>
      </c>
      <c r="B52" s="897">
        <f>SUM(B53:B54)</f>
        <v>1069</v>
      </c>
      <c r="C52" s="702" t="s">
        <v>936</v>
      </c>
      <c r="D52" s="701"/>
      <c r="E52" s="897">
        <f>SUM(E53:E54)</f>
        <v>1041</v>
      </c>
      <c r="F52" s="25"/>
      <c r="G52" s="154">
        <f t="shared" si="4"/>
        <v>0.2029934518241347</v>
      </c>
      <c r="H52" s="155">
        <f>B52/$J$5*$J$6</f>
        <v>1180.972371874185</v>
      </c>
      <c r="I52" s="155">
        <f>A52/$L$3*$J$6</f>
        <v>1128.1120435535704</v>
      </c>
      <c r="J52" s="155">
        <f>(H52+I52)/2</f>
        <v>1154.5422077138778</v>
      </c>
      <c r="K52" s="155">
        <v>200</v>
      </c>
    </row>
    <row r="53" spans="1:12" s="51" customFormat="1" ht="23.55" customHeight="1">
      <c r="A53" s="897">
        <v>193</v>
      </c>
      <c r="B53" s="897">
        <v>204</v>
      </c>
      <c r="C53" s="703" t="s">
        <v>937</v>
      </c>
      <c r="D53" s="701"/>
      <c r="E53" s="897">
        <f>[4]概算版業內!$AG$2/1000</f>
        <v>217</v>
      </c>
      <c r="F53" s="25"/>
      <c r="G53" s="154">
        <f t="shared" si="4"/>
        <v>4.0392156862745097</v>
      </c>
      <c r="H53" s="155">
        <f>B53/$J$5*$J$6</f>
        <v>225.36797367851614</v>
      </c>
      <c r="I53" s="155">
        <f>A53/$L$3*$J$6</f>
        <v>212.83052239084952</v>
      </c>
      <c r="J53" s="155">
        <f>(H53+I53)/2</f>
        <v>219.09924803468283</v>
      </c>
      <c r="K53" s="155">
        <v>1300</v>
      </c>
    </row>
    <row r="54" spans="1:12" s="51" customFormat="1" ht="23.55" customHeight="1">
      <c r="A54" s="897">
        <v>830</v>
      </c>
      <c r="B54" s="897">
        <v>865</v>
      </c>
      <c r="C54" s="703" t="s">
        <v>938</v>
      </c>
      <c r="D54" s="701"/>
      <c r="E54" s="897">
        <f>[4]概算版業內!$AH$2/1000</f>
        <v>824</v>
      </c>
      <c r="F54" s="25">
        <f>F57</f>
        <v>0</v>
      </c>
      <c r="G54" s="154">
        <f t="shared" si="4"/>
        <v>30.697109826589596</v>
      </c>
      <c r="H54" s="25">
        <f>SUM(H55:H59)</f>
        <v>55960.856405319777</v>
      </c>
      <c r="I54" s="25">
        <f>SUM(I55:I59)</f>
        <v>36852.762838237308</v>
      </c>
      <c r="J54" s="25">
        <f>SUM(J55:J59)</f>
        <v>46406.809621778535</v>
      </c>
      <c r="K54" s="25">
        <f>SUM(K55:K59)</f>
        <v>30750</v>
      </c>
    </row>
    <row r="55" spans="1:12" s="51" customFormat="1" ht="23.55" customHeight="1">
      <c r="A55" s="897">
        <f>SUM(A56:A60)</f>
        <v>17016</v>
      </c>
      <c r="B55" s="897">
        <f>SUM(B56:B60)</f>
        <v>26553</v>
      </c>
      <c r="C55" s="1130" t="s">
        <v>939</v>
      </c>
      <c r="D55" s="1131"/>
      <c r="E55" s="897">
        <f>SUM(E56:E60)</f>
        <v>26553</v>
      </c>
      <c r="F55" s="42"/>
      <c r="G55" s="154">
        <f t="shared" si="4"/>
        <v>0.56159379354498551</v>
      </c>
      <c r="H55" s="155">
        <f>B55/$J$5*$J$6</f>
        <v>29334.293162184505</v>
      </c>
      <c r="I55" s="155">
        <f>A55/$L$3*$J$6</f>
        <v>18764.373932656457</v>
      </c>
      <c r="J55" s="155">
        <f>(H55+I55)/2</f>
        <v>24049.33354742048</v>
      </c>
      <c r="K55" s="155">
        <v>15000</v>
      </c>
      <c r="L55" s="51">
        <f>91250+13640882</f>
        <v>13732132</v>
      </c>
    </row>
    <row r="56" spans="1:12" s="51" customFormat="1" ht="23.55" customHeight="1">
      <c r="A56" s="897">
        <v>6399</v>
      </c>
      <c r="B56" s="897">
        <v>11927</v>
      </c>
      <c r="C56" s="705" t="s">
        <v>940</v>
      </c>
      <c r="D56" s="704"/>
      <c r="E56" s="897">
        <f>[4]概算版業內!$AI$2/1000</f>
        <v>14912</v>
      </c>
      <c r="F56" s="42"/>
      <c r="G56" s="154">
        <f t="shared" si="4"/>
        <v>0.10840949107067997</v>
      </c>
      <c r="H56" s="155">
        <f>B56/$J$5*$J$6</f>
        <v>13176.293245410108</v>
      </c>
      <c r="I56" s="155">
        <f>A56/$L$3*$J$6</f>
        <v>7056.4897035183731</v>
      </c>
      <c r="J56" s="155">
        <f>(H56+I56)/2</f>
        <v>10116.391474464241</v>
      </c>
      <c r="K56" s="155">
        <v>950</v>
      </c>
    </row>
    <row r="57" spans="1:12" s="51" customFormat="1" ht="23.55" customHeight="1">
      <c r="A57" s="897">
        <v>940</v>
      </c>
      <c r="B57" s="897">
        <v>854</v>
      </c>
      <c r="C57" s="703" t="s">
        <v>941</v>
      </c>
      <c r="D57" s="704"/>
      <c r="E57" s="897">
        <f>[4]概算版業內!$AJ$2/1000</f>
        <v>1293</v>
      </c>
      <c r="G57" s="154">
        <f t="shared" si="4"/>
        <v>11.108899297423887</v>
      </c>
      <c r="H57" s="155">
        <f>B57/$J$5*$J$6</f>
        <v>943.45220353653315</v>
      </c>
      <c r="I57" s="155">
        <f>A57/$L$3*$J$6</f>
        <v>1036.5838914372982</v>
      </c>
      <c r="J57" s="155">
        <f>(H57+I57)/2</f>
        <v>990.01804748691575</v>
      </c>
      <c r="K57" s="155">
        <v>13500</v>
      </c>
      <c r="L57" s="51">
        <f>480+12626658</f>
        <v>12627138</v>
      </c>
    </row>
    <row r="58" spans="1:12" s="51" customFormat="1" ht="23.55" customHeight="1">
      <c r="A58" s="897">
        <v>9059</v>
      </c>
      <c r="B58" s="897">
        <v>11301</v>
      </c>
      <c r="C58" s="44" t="s">
        <v>942</v>
      </c>
      <c r="D58" s="43"/>
      <c r="E58" s="897">
        <f>[4]概算版業內!$AK$2/1000</f>
        <v>9487</v>
      </c>
      <c r="G58" s="154"/>
      <c r="H58" s="155">
        <f>B58/$J$5*$J$6</f>
        <v>12484.722894808387</v>
      </c>
      <c r="I58" s="155">
        <f>A58/$L$3*$J$6</f>
        <v>9989.8015665217918</v>
      </c>
      <c r="J58" s="155">
        <f>(H58+I58)/2</f>
        <v>11237.262230665088</v>
      </c>
      <c r="K58" s="155">
        <v>50</v>
      </c>
    </row>
    <row r="59" spans="1:12" s="51" customFormat="1" ht="23.55" customHeight="1">
      <c r="A59" s="897">
        <v>5</v>
      </c>
      <c r="B59" s="897">
        <v>20</v>
      </c>
      <c r="C59" s="44" t="s">
        <v>943</v>
      </c>
      <c r="D59" s="43"/>
      <c r="E59" s="897">
        <f>[4]概算版業內!$AL$2/1000</f>
        <v>6</v>
      </c>
      <c r="G59" s="154">
        <f t="shared" ref="G59:G78" si="5">E60/B59</f>
        <v>42.75</v>
      </c>
      <c r="H59" s="155">
        <f>B59/$J$5*$J$6</f>
        <v>22.09489938024668</v>
      </c>
      <c r="I59" s="155">
        <f>A59/$L$3*$J$6</f>
        <v>5.5137441033898842</v>
      </c>
      <c r="J59" s="155">
        <f>(H59+I59)/2</f>
        <v>13.804321741818281</v>
      </c>
      <c r="K59" s="155">
        <v>1250</v>
      </c>
    </row>
    <row r="60" spans="1:12" s="51" customFormat="1" ht="23.55" customHeight="1">
      <c r="A60" s="897">
        <v>613</v>
      </c>
      <c r="B60" s="897">
        <v>2451</v>
      </c>
      <c r="C60" s="672" t="s">
        <v>932</v>
      </c>
      <c r="D60" s="43"/>
      <c r="E60" s="897">
        <f>[4]概算版業內!$AM$2/1000</f>
        <v>855</v>
      </c>
      <c r="F60" s="25" t="e">
        <f>#REF!+F67+#REF!</f>
        <v>#REF!</v>
      </c>
      <c r="G60" s="154">
        <f t="shared" si="5"/>
        <v>6.6079151366789066</v>
      </c>
      <c r="H60" s="25">
        <f>SUM(H61,H63,H65,H67,H69)</f>
        <v>16973.301703905498</v>
      </c>
      <c r="I60" s="25">
        <f>SUM(I61,I63,I65,I67,I69)</f>
        <v>17958.264544740854</v>
      </c>
      <c r="J60" s="25">
        <f>SUM(J61,J63,J65,J67,J69)</f>
        <v>17465.783124323178</v>
      </c>
      <c r="K60" s="25">
        <f>SUM(K61,K63,K65,K67,K69)</f>
        <v>8555</v>
      </c>
    </row>
    <row r="61" spans="1:12" s="51" customFormat="1" ht="23.55" customHeight="1" thickBot="1">
      <c r="A61" s="897">
        <f>A62+A64+A66+A69+A71</f>
        <v>16025</v>
      </c>
      <c r="B61" s="897">
        <f>B62+B64+B66+B69+B71</f>
        <v>15168</v>
      </c>
      <c r="C61" s="1116" t="s">
        <v>944</v>
      </c>
      <c r="D61" s="1117"/>
      <c r="E61" s="897">
        <f>E62+E64+E66+E69+E71</f>
        <v>16196</v>
      </c>
      <c r="F61" s="25"/>
      <c r="G61" s="154">
        <f t="shared" si="5"/>
        <v>0</v>
      </c>
      <c r="H61" s="25">
        <f>SUM(H62)</f>
        <v>0</v>
      </c>
      <c r="I61" s="25">
        <f>SUM(I62)</f>
        <v>0</v>
      </c>
      <c r="J61" s="25">
        <f>SUM(J62)</f>
        <v>0</v>
      </c>
      <c r="K61" s="25">
        <f>SUM(K62)</f>
        <v>0</v>
      </c>
    </row>
    <row r="62" spans="1:12" s="51" customFormat="1" ht="23.55" hidden="1" customHeight="1">
      <c r="A62" s="114">
        <f>SUM(A63)</f>
        <v>0</v>
      </c>
      <c r="B62" s="114">
        <f>SUM(B63)</f>
        <v>0</v>
      </c>
      <c r="C62" s="86" t="s">
        <v>945</v>
      </c>
      <c r="D62" s="237"/>
      <c r="E62" s="897">
        <f>SUM(E63)</f>
        <v>0</v>
      </c>
      <c r="F62" s="25"/>
      <c r="G62" s="154" t="e">
        <f t="shared" si="5"/>
        <v>#DIV/0!</v>
      </c>
      <c r="H62" s="155">
        <f>B62/$J$5*$J$6</f>
        <v>0</v>
      </c>
      <c r="I62" s="155">
        <f>A62/$L$3*$J$6</f>
        <v>0</v>
      </c>
      <c r="J62" s="155">
        <f>(H62+I62)/2</f>
        <v>0</v>
      </c>
      <c r="K62" s="155">
        <v>0</v>
      </c>
    </row>
    <row r="63" spans="1:12" s="51" customFormat="1" ht="23.55" hidden="1" customHeight="1" thickBot="1">
      <c r="A63" s="114"/>
      <c r="B63" s="114">
        <v>0</v>
      </c>
      <c r="C63" s="44" t="s">
        <v>946</v>
      </c>
      <c r="D63" s="237"/>
      <c r="E63" s="897">
        <v>0</v>
      </c>
      <c r="F63" s="25"/>
      <c r="G63" s="154" t="e">
        <f t="shared" si="5"/>
        <v>#DIV/0!</v>
      </c>
      <c r="H63" s="483">
        <f>SUM(H64)</f>
        <v>2024.997528199608</v>
      </c>
      <c r="I63" s="483">
        <f>SUM(I64)</f>
        <v>2289.3065517274799</v>
      </c>
      <c r="J63" s="483">
        <f>SUM(J64)</f>
        <v>2157.1520399635438</v>
      </c>
      <c r="K63" s="483">
        <f>SUM(K64)</f>
        <v>1055</v>
      </c>
    </row>
    <row r="64" spans="1:12" s="51" customFormat="1" ht="23.55" customHeight="1">
      <c r="A64" s="908">
        <f>SUM(A65)</f>
        <v>2076</v>
      </c>
      <c r="B64" s="908">
        <f>SUM(B65)</f>
        <v>1833</v>
      </c>
      <c r="C64" s="909" t="s">
        <v>947</v>
      </c>
      <c r="D64" s="910"/>
      <c r="E64" s="908">
        <f>SUM(E65)</f>
        <v>2095</v>
      </c>
      <c r="F64" s="25"/>
      <c r="G64" s="154">
        <f t="shared" si="5"/>
        <v>1.1429350791052919</v>
      </c>
      <c r="H64" s="155">
        <f>B64/$J$5*$J$6</f>
        <v>2024.997528199608</v>
      </c>
      <c r="I64" s="155">
        <f>A64/$L$3*$J$6</f>
        <v>2289.3065517274799</v>
      </c>
      <c r="J64" s="155">
        <f>(H64+I64)/2</f>
        <v>2157.1520399635438</v>
      </c>
      <c r="K64" s="155">
        <v>1055</v>
      </c>
    </row>
    <row r="65" spans="1:13" s="51" customFormat="1" ht="31.5" customHeight="1">
      <c r="A65" s="897">
        <v>2076</v>
      </c>
      <c r="B65" s="897">
        <v>1833</v>
      </c>
      <c r="C65" s="44" t="s">
        <v>948</v>
      </c>
      <c r="D65" s="237"/>
      <c r="E65" s="897">
        <f>[4]概算版業內!$AO$2/1000</f>
        <v>2095</v>
      </c>
      <c r="F65" s="25"/>
      <c r="G65" s="154">
        <f t="shared" si="5"/>
        <v>5.0649208947081288</v>
      </c>
      <c r="H65" s="25">
        <f>SUM(H66:H66)</f>
        <v>9381.4942768527399</v>
      </c>
      <c r="I65" s="25">
        <f>SUM(I66:I66)</f>
        <v>10159.624884906201</v>
      </c>
      <c r="J65" s="25">
        <f>SUM(J66:J66)</f>
        <v>9770.5595808794715</v>
      </c>
      <c r="K65" s="25">
        <f>SUM(K66:K66)</f>
        <v>3300</v>
      </c>
    </row>
    <row r="66" spans="1:13" s="51" customFormat="1" ht="23.55" customHeight="1">
      <c r="A66" s="897">
        <f>SUM(A67:A68)</f>
        <v>9213</v>
      </c>
      <c r="B66" s="897">
        <f>SUM(B67:B68)</f>
        <v>8492</v>
      </c>
      <c r="C66" s="86" t="s">
        <v>949</v>
      </c>
      <c r="D66" s="237"/>
      <c r="E66" s="897">
        <f>SUM(E67:E68)</f>
        <v>9284</v>
      </c>
      <c r="F66" s="25"/>
      <c r="G66" s="154" t="e">
        <f>#REF!/B66</f>
        <v>#REF!</v>
      </c>
      <c r="H66" s="155">
        <f>B66/$J$5*$J$6</f>
        <v>9381.4942768527399</v>
      </c>
      <c r="I66" s="155">
        <f>A66/$L$3*$J$6</f>
        <v>10159.624884906201</v>
      </c>
      <c r="J66" s="155">
        <f>(H66+I66)/2</f>
        <v>9770.5595808794715</v>
      </c>
      <c r="K66" s="155">
        <v>3300</v>
      </c>
    </row>
    <row r="67" spans="1:13" s="51" customFormat="1" ht="23.55" customHeight="1">
      <c r="A67" s="907">
        <v>8899</v>
      </c>
      <c r="B67" s="897">
        <v>8196</v>
      </c>
      <c r="C67" s="906" t="s">
        <v>1083</v>
      </c>
      <c r="D67" s="237"/>
      <c r="E67" s="897">
        <f>[4]概算版業內!$AP$2/1000</f>
        <v>9238</v>
      </c>
      <c r="F67" s="25">
        <f>F68</f>
        <v>0</v>
      </c>
      <c r="G67" s="154">
        <f t="shared" si="5"/>
        <v>5.6124938994631529E-3</v>
      </c>
      <c r="H67" s="99">
        <f>H68</f>
        <v>327.00451082765085</v>
      </c>
      <c r="I67" s="99">
        <f>I68</f>
        <v>346.26312969288472</v>
      </c>
      <c r="J67" s="99">
        <f>J68</f>
        <v>336.63382026026778</v>
      </c>
      <c r="K67" s="99">
        <f>K68</f>
        <v>3900</v>
      </c>
    </row>
    <row r="68" spans="1:13" s="51" customFormat="1" ht="23.55" customHeight="1">
      <c r="A68" s="897">
        <v>314</v>
      </c>
      <c r="B68" s="897">
        <v>296</v>
      </c>
      <c r="C68" s="44" t="s">
        <v>950</v>
      </c>
      <c r="D68" s="237"/>
      <c r="E68" s="897">
        <f>[4]概算版業內!$AQ$2/1000</f>
        <v>46</v>
      </c>
      <c r="G68" s="154">
        <f t="shared" si="5"/>
        <v>16.091216216216218</v>
      </c>
      <c r="H68" s="155">
        <f>B68/$J$5*$J$6</f>
        <v>327.00451082765085</v>
      </c>
      <c r="I68" s="155">
        <f>A68/$L$3*$J$6</f>
        <v>346.26312969288472</v>
      </c>
      <c r="J68" s="155">
        <f>(H68+I68)/2</f>
        <v>336.63382026026778</v>
      </c>
      <c r="K68" s="155">
        <v>3900</v>
      </c>
    </row>
    <row r="69" spans="1:13" s="51" customFormat="1" ht="23.55" customHeight="1">
      <c r="A69" s="907">
        <f>A70</f>
        <v>4682</v>
      </c>
      <c r="B69" s="897">
        <f>B70</f>
        <v>4743</v>
      </c>
      <c r="C69" s="86" t="s">
        <v>951</v>
      </c>
      <c r="D69" s="237"/>
      <c r="E69" s="897">
        <f>E70</f>
        <v>4763</v>
      </c>
      <c r="F69" s="25">
        <f>F70</f>
        <v>0</v>
      </c>
      <c r="G69" s="154">
        <f t="shared" si="5"/>
        <v>1.0042167404596247</v>
      </c>
      <c r="H69" s="25">
        <f>H70</f>
        <v>5239.8053880255002</v>
      </c>
      <c r="I69" s="25">
        <f>I70</f>
        <v>5163.069978414288</v>
      </c>
      <c r="J69" s="25">
        <f>J70</f>
        <v>5201.4376832198941</v>
      </c>
      <c r="K69" s="25">
        <f>K70</f>
        <v>300</v>
      </c>
    </row>
    <row r="70" spans="1:13" s="51" customFormat="1" ht="23.55" customHeight="1">
      <c r="A70" s="897">
        <v>4682</v>
      </c>
      <c r="B70" s="897">
        <v>4743</v>
      </c>
      <c r="C70" s="44" t="s">
        <v>952</v>
      </c>
      <c r="D70" s="237"/>
      <c r="E70" s="897">
        <f>[4]概算版業內!$AR$2/1000</f>
        <v>4763</v>
      </c>
      <c r="G70" s="154">
        <f t="shared" si="5"/>
        <v>1.1385199240986717E-2</v>
      </c>
      <c r="H70" s="155">
        <f>B70/$J$5*$J$6</f>
        <v>5239.8053880255002</v>
      </c>
      <c r="I70" s="155">
        <f>A70/$L$3*$J$6</f>
        <v>5163.069978414288</v>
      </c>
      <c r="J70" s="155">
        <f>(H70+I70)/2</f>
        <v>5201.4376832198941</v>
      </c>
      <c r="K70" s="155">
        <v>300</v>
      </c>
    </row>
    <row r="71" spans="1:13" s="51" customFormat="1" ht="23.55" customHeight="1">
      <c r="A71" s="897">
        <f>SUM(A72)</f>
        <v>54</v>
      </c>
      <c r="B71" s="897">
        <f>SUM(B72)</f>
        <v>100</v>
      </c>
      <c r="C71" s="86" t="s">
        <v>953</v>
      </c>
      <c r="D71" s="237"/>
      <c r="E71" s="897">
        <f>SUM(E72)</f>
        <v>54</v>
      </c>
      <c r="F71" s="25" t="e">
        <f>SUM(#REF!,#REF!,F72)</f>
        <v>#REF!</v>
      </c>
      <c r="G71" s="154">
        <f t="shared" si="5"/>
        <v>0.54</v>
      </c>
      <c r="H71" s="25" t="e">
        <f>SUM(H72,H74,#REF!,#REF!)</f>
        <v>#REF!</v>
      </c>
      <c r="I71" s="25" t="e">
        <f>SUM(I72,I74,#REF!,#REF!)</f>
        <v>#REF!</v>
      </c>
      <c r="J71" s="25" t="e">
        <f>SUM(J72,J74,#REF!,#REF!)</f>
        <v>#REF!</v>
      </c>
      <c r="K71" s="25" t="e">
        <f>SUM(K72,K74,#REF!,#REF!)</f>
        <v>#REF!</v>
      </c>
    </row>
    <row r="72" spans="1:13" s="51" customFormat="1" ht="23.55" customHeight="1">
      <c r="A72" s="897">
        <v>54</v>
      </c>
      <c r="B72" s="897">
        <v>100</v>
      </c>
      <c r="C72" s="44" t="s">
        <v>954</v>
      </c>
      <c r="D72" s="237"/>
      <c r="E72" s="897">
        <f>[4]概算版業內!$AS$2/1000</f>
        <v>54</v>
      </c>
      <c r="F72" s="25">
        <f>F73</f>
        <v>0</v>
      </c>
      <c r="G72" s="154">
        <f t="shared" si="5"/>
        <v>400</v>
      </c>
      <c r="H72" s="114">
        <f>H73</f>
        <v>46792.577907486419</v>
      </c>
      <c r="I72" s="114">
        <f>I73</f>
        <v>33103.416847932189</v>
      </c>
      <c r="J72" s="114">
        <f>J73</f>
        <v>39947.997377709304</v>
      </c>
      <c r="K72" s="114">
        <f>K73</f>
        <v>19338</v>
      </c>
    </row>
    <row r="73" spans="1:13" s="51" customFormat="1" ht="23.55" customHeight="1">
      <c r="A73" s="897">
        <f t="shared" ref="A73:B73" si="6">A74+A78</f>
        <v>30019</v>
      </c>
      <c r="B73" s="897">
        <f t="shared" si="6"/>
        <v>42356</v>
      </c>
      <c r="C73" s="54" t="s">
        <v>955</v>
      </c>
      <c r="D73" s="43"/>
      <c r="E73" s="897">
        <f>E74+E78</f>
        <v>40000</v>
      </c>
      <c r="G73" s="154">
        <f t="shared" si="5"/>
        <v>0.4720464633109831</v>
      </c>
      <c r="H73" s="155">
        <f>B73/$J$5*$J$6</f>
        <v>46792.577907486419</v>
      </c>
      <c r="I73" s="155">
        <f>A73/$L$3*$J$6</f>
        <v>33103.416847932189</v>
      </c>
      <c r="J73" s="155">
        <f>(H73+I73)/2</f>
        <v>39947.997377709304</v>
      </c>
      <c r="K73" s="155">
        <v>19338</v>
      </c>
      <c r="M73" s="51">
        <f>1611500*12</f>
        <v>19338000</v>
      </c>
    </row>
    <row r="74" spans="1:13" s="51" customFormat="1" ht="23.55" customHeight="1">
      <c r="A74" s="897">
        <f t="shared" ref="A74:B74" si="7">SUM(A75:A77)</f>
        <v>16810</v>
      </c>
      <c r="B74" s="897">
        <f t="shared" si="7"/>
        <v>21109</v>
      </c>
      <c r="C74" s="898" t="s">
        <v>1084</v>
      </c>
      <c r="D74" s="43"/>
      <c r="E74" s="897">
        <f>SUM(E75:E77)</f>
        <v>19994</v>
      </c>
      <c r="G74" s="154">
        <f t="shared" si="5"/>
        <v>0.85532237434269742</v>
      </c>
      <c r="H74" s="114">
        <f>H75</f>
        <v>19488.805998346586</v>
      </c>
      <c r="I74" s="114">
        <f>I75</f>
        <v>16328.401787778805</v>
      </c>
      <c r="J74" s="475">
        <f>J75</f>
        <v>17908.603893062696</v>
      </c>
      <c r="K74" s="114">
        <f>K75</f>
        <v>2196</v>
      </c>
    </row>
    <row r="75" spans="1:13" s="51" customFormat="1" ht="23.55" customHeight="1">
      <c r="A75" s="897">
        <v>14807</v>
      </c>
      <c r="B75" s="897">
        <v>17641</v>
      </c>
      <c r="C75" s="44" t="s">
        <v>956</v>
      </c>
      <c r="D75" s="43"/>
      <c r="E75" s="897">
        <f>[4]概算版業內!$AV$2/1000</f>
        <v>18055</v>
      </c>
      <c r="G75" s="154" t="e">
        <f>#REF!/B75</f>
        <v>#REF!</v>
      </c>
      <c r="H75" s="155">
        <f>B75/$J$5*$J$6</f>
        <v>19488.805998346586</v>
      </c>
      <c r="I75" s="155">
        <f>A75/$L$3*$J$6</f>
        <v>16328.401787778805</v>
      </c>
      <c r="J75" s="155">
        <f>(H75+I75)/2</f>
        <v>17908.603893062696</v>
      </c>
      <c r="K75" s="155">
        <v>2196</v>
      </c>
      <c r="L75" s="51">
        <f>273654+949173</f>
        <v>1222827</v>
      </c>
      <c r="M75" s="51">
        <f>183000*12</f>
        <v>2196000</v>
      </c>
    </row>
    <row r="76" spans="1:13" s="51" customFormat="1" ht="23.55" customHeight="1">
      <c r="A76" s="897">
        <v>901</v>
      </c>
      <c r="B76" s="897">
        <v>1099</v>
      </c>
      <c r="C76" s="44" t="s">
        <v>957</v>
      </c>
      <c r="D76" s="43"/>
      <c r="E76" s="897">
        <f>[4]概算版業內!$AW$2/1000</f>
        <v>595</v>
      </c>
      <c r="G76" s="154" t="e">
        <f>#REF!/B76</f>
        <v>#REF!</v>
      </c>
      <c r="H76" s="155">
        <f>B76/$J$5*$J$6</f>
        <v>1214.1147209445551</v>
      </c>
      <c r="I76" s="155">
        <f>A76/$L$3*$J$6</f>
        <v>993.57668743085719</v>
      </c>
      <c r="J76" s="155">
        <f>(H76+I76)/2</f>
        <v>1103.8457041877061</v>
      </c>
      <c r="K76" s="155">
        <v>3848</v>
      </c>
      <c r="L76" s="51">
        <f>3682115+23504</f>
        <v>3705619</v>
      </c>
      <c r="M76" s="51">
        <f>320665*12</f>
        <v>3847980</v>
      </c>
    </row>
    <row r="77" spans="1:13" s="51" customFormat="1" ht="23.55" customHeight="1">
      <c r="A77" s="897">
        <v>1102</v>
      </c>
      <c r="B77" s="897">
        <v>2369</v>
      </c>
      <c r="C77" s="44" t="s">
        <v>958</v>
      </c>
      <c r="D77" s="43"/>
      <c r="E77" s="897">
        <f>[4]概算版業內!$AX$2/1000</f>
        <v>1344</v>
      </c>
      <c r="G77" s="154">
        <f t="shared" si="5"/>
        <v>8.4449134655972991</v>
      </c>
      <c r="H77" s="155">
        <f>B77/$J$5*$J$6</f>
        <v>2617.1408315902195</v>
      </c>
      <c r="I77" s="155">
        <f>A77/$L$3*$J$6</f>
        <v>1215.2292003871305</v>
      </c>
      <c r="J77" s="155">
        <f>(H77+I77)/2</f>
        <v>1916.1850159886749</v>
      </c>
      <c r="K77" s="155">
        <v>15513</v>
      </c>
      <c r="M77" s="51">
        <f>1292750*12</f>
        <v>15513000</v>
      </c>
    </row>
    <row r="78" spans="1:13" s="51" customFormat="1" ht="23.25" customHeight="1">
      <c r="A78" s="897">
        <f>A79+A80-1</f>
        <v>13209</v>
      </c>
      <c r="B78" s="897">
        <f>SUM(B79)</f>
        <v>21247</v>
      </c>
      <c r="C78" s="86" t="s">
        <v>959</v>
      </c>
      <c r="D78" s="43"/>
      <c r="E78" s="897">
        <f>SUM(E79:E80)</f>
        <v>20006</v>
      </c>
      <c r="F78" s="25" t="e">
        <f>SUM(#REF!,#REF!,F79)</f>
        <v>#REF!</v>
      </c>
      <c r="G78" s="154">
        <f t="shared" si="5"/>
        <v>0.94130936132159837</v>
      </c>
      <c r="H78" s="25">
        <f>SUM(H79)</f>
        <v>0</v>
      </c>
      <c r="I78" s="25">
        <f>SUM(I79)</f>
        <v>0</v>
      </c>
      <c r="J78" s="25">
        <f>SUM(J79)</f>
        <v>0</v>
      </c>
      <c r="K78" s="25">
        <f>SUM(K79)</f>
        <v>40</v>
      </c>
    </row>
    <row r="79" spans="1:13" s="51" customFormat="1" ht="23.55" customHeight="1">
      <c r="A79" s="897">
        <v>13208</v>
      </c>
      <c r="B79" s="897">
        <v>21247</v>
      </c>
      <c r="C79" s="44" t="s">
        <v>960</v>
      </c>
      <c r="D79" s="43"/>
      <c r="E79" s="897">
        <f>[4]概算版業內!$BB$2/1000</f>
        <v>20000</v>
      </c>
      <c r="F79" s="25">
        <f>F81</f>
        <v>0</v>
      </c>
      <c r="G79" s="154">
        <f>E81/B79</f>
        <v>0</v>
      </c>
      <c r="H79" s="114">
        <f>H81</f>
        <v>0</v>
      </c>
      <c r="I79" s="114">
        <f>I81</f>
        <v>0</v>
      </c>
      <c r="J79" s="114">
        <f>J81</f>
        <v>0</v>
      </c>
      <c r="K79" s="114">
        <f>K81</f>
        <v>40</v>
      </c>
    </row>
    <row r="80" spans="1:13" s="51" customFormat="1" ht="23.55" customHeight="1">
      <c r="A80" s="897">
        <v>2</v>
      </c>
      <c r="B80" s="897">
        <v>0</v>
      </c>
      <c r="C80" s="44" t="s">
        <v>1023</v>
      </c>
      <c r="D80" s="43"/>
      <c r="E80" s="897">
        <f>[4]概算版業內!$BC$2/1000</f>
        <v>6</v>
      </c>
      <c r="F80" s="42"/>
      <c r="G80" s="154"/>
      <c r="H80" s="114"/>
      <c r="I80" s="114"/>
      <c r="J80" s="114"/>
      <c r="K80" s="114"/>
    </row>
    <row r="81" spans="1:11" s="51" customFormat="1" ht="23.55" hidden="1" customHeight="1">
      <c r="A81" s="897">
        <f>A84+A87</f>
        <v>0</v>
      </c>
      <c r="B81" s="897">
        <f>B82+B84</f>
        <v>0</v>
      </c>
      <c r="C81" s="1138" t="s">
        <v>961</v>
      </c>
      <c r="D81" s="1139"/>
      <c r="E81" s="897">
        <f>E82+E84</f>
        <v>0</v>
      </c>
      <c r="G81" s="154" t="e">
        <f>E83/B81</f>
        <v>#DIV/0!</v>
      </c>
      <c r="H81" s="155">
        <f>B81/$J$5*$J$6</f>
        <v>0</v>
      </c>
      <c r="I81" s="155">
        <f>A81/$L$3*$J$6</f>
        <v>0</v>
      </c>
      <c r="J81" s="155">
        <f>(H81+I81)/2</f>
        <v>0</v>
      </c>
      <c r="K81" s="155">
        <v>40</v>
      </c>
    </row>
    <row r="82" spans="1:11" s="51" customFormat="1" ht="23.25" hidden="1" customHeight="1">
      <c r="A82" s="897">
        <f>SUM(A83)</f>
        <v>0</v>
      </c>
      <c r="B82" s="897">
        <f>SUM(B83)</f>
        <v>0</v>
      </c>
      <c r="C82" s="1142" t="s">
        <v>962</v>
      </c>
      <c r="D82" s="1143"/>
      <c r="E82" s="897">
        <f>SUM(E83)</f>
        <v>0</v>
      </c>
      <c r="F82" s="25" t="e">
        <f>SUM(#REF!,#REF!,F83)</f>
        <v>#REF!</v>
      </c>
      <c r="G82" s="154" t="e">
        <f>E84/B82</f>
        <v>#DIV/0!</v>
      </c>
      <c r="H82" s="25">
        <f>SUM(H83)</f>
        <v>0</v>
      </c>
      <c r="I82" s="25">
        <f>SUM(I83)</f>
        <v>0</v>
      </c>
      <c r="J82" s="25">
        <f>SUM(J83)</f>
        <v>0</v>
      </c>
      <c r="K82" s="25">
        <f>SUM(K83)</f>
        <v>0</v>
      </c>
    </row>
    <row r="83" spans="1:11" s="51" customFormat="1" ht="23.55" hidden="1" customHeight="1">
      <c r="A83" s="897"/>
      <c r="B83" s="897"/>
      <c r="C83" s="1136" t="s">
        <v>963</v>
      </c>
      <c r="D83" s="1144"/>
      <c r="E83" s="897"/>
      <c r="F83" s="25">
        <f>F84</f>
        <v>0</v>
      </c>
      <c r="G83" s="154" t="e">
        <f>E85/B83</f>
        <v>#DIV/0!</v>
      </c>
      <c r="H83" s="114">
        <f>H84</f>
        <v>0</v>
      </c>
      <c r="I83" s="114">
        <f>I84</f>
        <v>0</v>
      </c>
      <c r="J83" s="114">
        <f>J84</f>
        <v>0</v>
      </c>
      <c r="K83" s="114">
        <f>K84</f>
        <v>0</v>
      </c>
    </row>
    <row r="84" spans="1:11" s="51" customFormat="1" ht="23.55" hidden="1" customHeight="1">
      <c r="A84" s="897">
        <f>SUM(A85:A86)</f>
        <v>0</v>
      </c>
      <c r="B84" s="897">
        <f>SUM(B85:B86)</f>
        <v>0</v>
      </c>
      <c r="C84" s="1142" t="s">
        <v>964</v>
      </c>
      <c r="D84" s="1143"/>
      <c r="E84" s="897">
        <f>SUM(E85:E86)</f>
        <v>0</v>
      </c>
      <c r="G84" s="154" t="e">
        <f>E86/B84</f>
        <v>#DIV/0!</v>
      </c>
      <c r="H84" s="155">
        <f>B84/$J$5*$J$6</f>
        <v>0</v>
      </c>
      <c r="I84" s="155">
        <f>A84/$L$3*$J$6</f>
        <v>0</v>
      </c>
      <c r="J84" s="155">
        <f>(H84+I84)/2</f>
        <v>0</v>
      </c>
      <c r="K84" s="155">
        <v>0</v>
      </c>
    </row>
    <row r="85" spans="1:11" s="51" customFormat="1" ht="23.55" hidden="1" customHeight="1">
      <c r="A85" s="897"/>
      <c r="B85" s="897">
        <v>0</v>
      </c>
      <c r="C85" s="1136" t="s">
        <v>965</v>
      </c>
      <c r="D85" s="1144"/>
      <c r="E85" s="897">
        <v>0</v>
      </c>
      <c r="G85" s="154"/>
      <c r="H85" s="155"/>
      <c r="I85" s="155"/>
      <c r="J85" s="155"/>
      <c r="K85" s="155"/>
    </row>
    <row r="86" spans="1:11" s="51" customFormat="1" ht="23.55" hidden="1" customHeight="1">
      <c r="A86" s="897"/>
      <c r="B86" s="897"/>
      <c r="C86" s="673" t="s">
        <v>966</v>
      </c>
      <c r="D86" s="696"/>
      <c r="E86" s="897"/>
      <c r="G86" s="154"/>
      <c r="H86" s="155"/>
      <c r="I86" s="155"/>
      <c r="J86" s="155"/>
      <c r="K86" s="155"/>
    </row>
    <row r="87" spans="1:11" s="51" customFormat="1" ht="23.55" hidden="1" customHeight="1">
      <c r="A87" s="897">
        <f>A88</f>
        <v>0</v>
      </c>
      <c r="B87" s="897"/>
      <c r="C87" s="1142" t="s">
        <v>967</v>
      </c>
      <c r="D87" s="1145"/>
      <c r="E87" s="897"/>
      <c r="G87" s="154"/>
      <c r="H87" s="155"/>
      <c r="I87" s="155"/>
      <c r="J87" s="155"/>
      <c r="K87" s="155"/>
    </row>
    <row r="88" spans="1:11" s="51" customFormat="1" ht="23.55" hidden="1" customHeight="1">
      <c r="A88" s="897">
        <v>0</v>
      </c>
      <c r="B88" s="901"/>
      <c r="C88" s="1136" t="s">
        <v>968</v>
      </c>
      <c r="D88" s="1137"/>
      <c r="E88" s="901"/>
      <c r="G88" s="154"/>
      <c r="H88" s="155"/>
      <c r="I88" s="155"/>
      <c r="J88" s="155"/>
      <c r="K88" s="155"/>
    </row>
    <row r="89" spans="1:11" s="51" customFormat="1" ht="35.25" hidden="1" customHeight="1">
      <c r="A89" s="897">
        <f>A90</f>
        <v>0</v>
      </c>
      <c r="B89" s="897">
        <f>B90</f>
        <v>0</v>
      </c>
      <c r="C89" s="1138" t="s">
        <v>969</v>
      </c>
      <c r="D89" s="1139"/>
      <c r="E89" s="897">
        <f>E90</f>
        <v>0</v>
      </c>
      <c r="G89" s="154"/>
      <c r="H89" s="155"/>
      <c r="I89" s="155"/>
      <c r="J89" s="155"/>
      <c r="K89" s="155"/>
    </row>
    <row r="90" spans="1:11" s="51" customFormat="1" ht="23.55" hidden="1" customHeight="1">
      <c r="A90" s="897">
        <f>A91</f>
        <v>0</v>
      </c>
      <c r="B90" s="897">
        <f>B91</f>
        <v>0</v>
      </c>
      <c r="C90" s="86" t="s">
        <v>970</v>
      </c>
      <c r="D90" s="43"/>
      <c r="E90" s="897">
        <f>E91</f>
        <v>0</v>
      </c>
      <c r="G90" s="154"/>
      <c r="H90" s="155"/>
      <c r="I90" s="155"/>
      <c r="J90" s="155"/>
      <c r="K90" s="155"/>
    </row>
    <row r="91" spans="1:11" s="51" customFormat="1" ht="23.55" hidden="1" customHeight="1">
      <c r="A91" s="897">
        <v>0</v>
      </c>
      <c r="B91" s="897">
        <v>0</v>
      </c>
      <c r="C91" s="44" t="s">
        <v>972</v>
      </c>
      <c r="D91" s="43"/>
      <c r="E91" s="897">
        <f>1200-1200</f>
        <v>0</v>
      </c>
      <c r="G91" s="154"/>
      <c r="H91" s="155"/>
      <c r="I91" s="155"/>
      <c r="J91" s="155"/>
      <c r="K91" s="155"/>
    </row>
    <row r="92" spans="1:11" s="51" customFormat="1" ht="23.55" hidden="1" customHeight="1">
      <c r="A92" s="897"/>
      <c r="B92" s="897"/>
      <c r="C92" s="81"/>
      <c r="D92" s="43"/>
      <c r="E92" s="897"/>
      <c r="G92" s="154"/>
      <c r="H92" s="155"/>
      <c r="I92" s="155"/>
      <c r="J92" s="155"/>
      <c r="K92" s="155"/>
    </row>
    <row r="93" spans="1:11" ht="30.75" customHeight="1" thickBot="1">
      <c r="A93" s="902">
        <f>A8</f>
        <v>561075</v>
      </c>
      <c r="B93" s="902">
        <f>B8</f>
        <v>613143</v>
      </c>
      <c r="C93" s="1140" t="s">
        <v>971</v>
      </c>
      <c r="D93" s="1141"/>
      <c r="E93" s="902">
        <f>E8</f>
        <v>628750</v>
      </c>
      <c r="F93" s="83"/>
      <c r="H93" s="467" t="e">
        <f>H8</f>
        <v>#REF!</v>
      </c>
      <c r="I93" s="467" t="e">
        <f>I8</f>
        <v>#REF!</v>
      </c>
      <c r="J93" s="467" t="e">
        <f>J8</f>
        <v>#REF!</v>
      </c>
      <c r="K93" s="467" t="e">
        <f>K8</f>
        <v>#REF!</v>
      </c>
    </row>
    <row r="94" spans="1:11">
      <c r="C94" s="81"/>
      <c r="D94" s="43"/>
      <c r="E94" s="114"/>
    </row>
    <row r="95" spans="1:11" ht="16.8" thickBot="1">
      <c r="C95" s="81"/>
      <c r="D95" s="43"/>
      <c r="E95" s="903">
        <f>E8</f>
        <v>628750</v>
      </c>
    </row>
    <row r="96" spans="1:11">
      <c r="C96" s="81"/>
      <c r="D96" s="43"/>
      <c r="E96" s="904"/>
    </row>
    <row r="97" spans="3:4">
      <c r="C97" s="81"/>
      <c r="D97" s="43"/>
    </row>
    <row r="98" spans="3:4">
      <c r="C98" s="81"/>
      <c r="D98" s="43"/>
    </row>
    <row r="99" spans="3:4" ht="16.8" thickBot="1">
      <c r="C99" s="1140" t="s">
        <v>971</v>
      </c>
      <c r="D99" s="1141"/>
    </row>
    <row r="100" spans="3:4">
      <c r="C100" s="117"/>
    </row>
  </sheetData>
  <mergeCells count="25">
    <mergeCell ref="C88:D88"/>
    <mergeCell ref="C89:D89"/>
    <mergeCell ref="C93:D93"/>
    <mergeCell ref="C99:D99"/>
    <mergeCell ref="C81:D81"/>
    <mergeCell ref="C82:D82"/>
    <mergeCell ref="C83:D83"/>
    <mergeCell ref="C84:D84"/>
    <mergeCell ref="C85:D85"/>
    <mergeCell ref="C87:D87"/>
    <mergeCell ref="C61:D61"/>
    <mergeCell ref="A1:E1"/>
    <mergeCell ref="A2:E2"/>
    <mergeCell ref="A3:E3"/>
    <mergeCell ref="A4:E4"/>
    <mergeCell ref="A5:E5"/>
    <mergeCell ref="A6:A7"/>
    <mergeCell ref="B6:B7"/>
    <mergeCell ref="C6:D7"/>
    <mergeCell ref="E6:E7"/>
    <mergeCell ref="C34:D34"/>
    <mergeCell ref="C35:D35"/>
    <mergeCell ref="C36:D36"/>
    <mergeCell ref="C51:D51"/>
    <mergeCell ref="C55:D55"/>
  </mergeCells>
  <phoneticPr fontId="14" type="noConversion"/>
  <printOptions horizontalCentered="1"/>
  <pageMargins left="0.6692913385826772" right="0.6692913385826772" top="0.59055118110236227" bottom="0.78740157480314965" header="0.51181102362204722" footer="0.51181102362204722"/>
  <pageSetup paperSize="9" scale="97" firstPageNumber="19" orientation="portrait" useFirstPageNumber="1" r:id="rId1"/>
  <headerFooter alignWithMargins="0">
    <oddFooter>&amp;C&amp;"Arial Unicode MS,標準"&amp;P</oddFooter>
  </headerFooter>
</worksheet>
</file>

<file path=xl/worksheets/sheet2.xml><?xml version="1.0" encoding="utf-8"?>
<worksheet xmlns="http://schemas.openxmlformats.org/spreadsheetml/2006/main" xmlns:r="http://schemas.openxmlformats.org/officeDocument/2006/relationships">
  <sheetPr codeName="Sheet3"/>
  <dimension ref="A18:I18"/>
  <sheetViews>
    <sheetView zoomScale="50" workbookViewId="0">
      <selection activeCell="I38" sqref="I38"/>
    </sheetView>
  </sheetViews>
  <sheetFormatPr defaultColWidth="9" defaultRowHeight="16.2"/>
  <cols>
    <col min="1" max="8" width="9" style="1"/>
    <col min="9" max="9" width="14.109375" style="1" customWidth="1"/>
    <col min="10" max="16384" width="9" style="1"/>
  </cols>
  <sheetData>
    <row r="18" spans="1:9" ht="59.25" customHeight="1">
      <c r="A18" s="984" t="s">
        <v>251</v>
      </c>
      <c r="B18" s="985"/>
      <c r="C18" s="985"/>
      <c r="D18" s="985"/>
      <c r="E18" s="985"/>
      <c r="F18" s="985"/>
      <c r="G18" s="985"/>
      <c r="H18" s="985"/>
      <c r="I18" s="985"/>
    </row>
  </sheetData>
  <mergeCells count="1">
    <mergeCell ref="A18:I18"/>
  </mergeCells>
  <phoneticPr fontId="14" type="noConversion"/>
  <pageMargins left="0.74803149606299213" right="0.74803149606299213" top="0.59055118110236227" bottom="0.59055118110236227"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FFFFCC"/>
  </sheetPr>
  <dimension ref="A1:F33"/>
  <sheetViews>
    <sheetView zoomScaleNormal="100" workbookViewId="0">
      <selection activeCell="A14" sqref="A14"/>
    </sheetView>
  </sheetViews>
  <sheetFormatPr defaultColWidth="9" defaultRowHeight="16.2"/>
  <cols>
    <col min="1" max="2" width="17.6640625" style="34" customWidth="1"/>
    <col min="3" max="3" width="7.6640625" style="34" customWidth="1"/>
    <col min="4" max="4" width="31.33203125" style="34" customWidth="1"/>
    <col min="5" max="5" width="18" style="34" customWidth="1"/>
    <col min="6" max="6" width="8.77734375" style="34" hidden="1" customWidth="1"/>
    <col min="7" max="16384" width="9" style="34"/>
  </cols>
  <sheetData>
    <row r="1" spans="1:6" ht="24.6">
      <c r="A1" s="1023" t="s">
        <v>145</v>
      </c>
      <c r="B1" s="1023"/>
      <c r="C1" s="1023"/>
      <c r="D1" s="1023"/>
      <c r="E1" s="1023"/>
      <c r="F1" s="36"/>
    </row>
    <row r="2" spans="1:6" ht="22.2">
      <c r="A2" s="1034" t="s">
        <v>146</v>
      </c>
      <c r="B2" s="1034"/>
      <c r="C2" s="1034"/>
      <c r="D2" s="1034"/>
      <c r="E2" s="1034"/>
      <c r="F2" s="37"/>
    </row>
    <row r="3" spans="1:6" ht="22.2">
      <c r="A3" s="1033" t="s">
        <v>326</v>
      </c>
      <c r="B3" s="1033"/>
      <c r="C3" s="1033"/>
      <c r="D3" s="1033"/>
      <c r="E3" s="1033"/>
      <c r="F3" s="38"/>
    </row>
    <row r="4" spans="1:6" ht="19.8">
      <c r="A4" s="1097" t="s">
        <v>1081</v>
      </c>
      <c r="B4" s="1097"/>
      <c r="C4" s="1097"/>
      <c r="D4" s="1097"/>
      <c r="E4" s="1097"/>
      <c r="F4" s="39"/>
    </row>
    <row r="5" spans="1:6" ht="16.8" thickBot="1">
      <c r="C5" s="39"/>
      <c r="D5" s="39"/>
      <c r="E5" s="40" t="s">
        <v>641</v>
      </c>
      <c r="F5" s="41"/>
    </row>
    <row r="6" spans="1:6" s="45" customFormat="1" ht="21" customHeight="1">
      <c r="A6" s="1061" t="s">
        <v>360</v>
      </c>
      <c r="B6" s="1089" t="s">
        <v>62</v>
      </c>
      <c r="C6" s="1089" t="s">
        <v>63</v>
      </c>
      <c r="D6" s="1089"/>
      <c r="E6" s="1065" t="s">
        <v>64</v>
      </c>
      <c r="F6" s="74"/>
    </row>
    <row r="7" spans="1:6" s="45" customFormat="1" ht="21" customHeight="1" thickBot="1">
      <c r="A7" s="1149"/>
      <c r="B7" s="1151"/>
      <c r="C7" s="1151"/>
      <c r="D7" s="1151"/>
      <c r="E7" s="1150"/>
      <c r="F7" s="75"/>
    </row>
    <row r="8" spans="1:6" s="45" customFormat="1" ht="25.05" customHeight="1">
      <c r="A8" s="821">
        <f>SUM(A9)</f>
        <v>232</v>
      </c>
      <c r="B8" s="822">
        <f>SUM(B9)</f>
        <v>1099</v>
      </c>
      <c r="C8" s="508" t="s">
        <v>77</v>
      </c>
      <c r="D8" s="512"/>
      <c r="E8" s="954">
        <f>SUM(E9)</f>
        <v>1099</v>
      </c>
      <c r="F8" s="208"/>
    </row>
    <row r="9" spans="1:6" s="51" customFormat="1" ht="25.05" customHeight="1">
      <c r="A9" s="482">
        <f>SUM(A10,A19,A22,A26)</f>
        <v>232</v>
      </c>
      <c r="B9" s="196">
        <f>SUM(B10,B19,B22)</f>
        <v>1099</v>
      </c>
      <c r="C9" s="1117" t="s">
        <v>612</v>
      </c>
      <c r="D9" s="1146"/>
      <c r="E9" s="955">
        <f>SUM(E10,E19,E22)</f>
        <v>1099</v>
      </c>
      <c r="F9" s="25" t="e">
        <f>#REF!</f>
        <v>#REF!</v>
      </c>
    </row>
    <row r="10" spans="1:6" s="771" customFormat="1" ht="25.05" customHeight="1">
      <c r="A10" s="949">
        <f>SUM(A11:A18)</f>
        <v>232</v>
      </c>
      <c r="B10" s="950">
        <f>SUM(B11:B18)</f>
        <v>1000</v>
      </c>
      <c r="C10" s="88" t="s">
        <v>82</v>
      </c>
      <c r="D10" s="481"/>
      <c r="E10" s="956">
        <f>SUM(E11:E18)</f>
        <v>1000</v>
      </c>
      <c r="F10" s="770"/>
    </row>
    <row r="11" spans="1:6" s="48" customFormat="1" ht="25.05" customHeight="1">
      <c r="A11" s="205">
        <f>'23.其他業務成本明細7級(X)'!A10</f>
        <v>0</v>
      </c>
      <c r="B11" s="157">
        <v>380</v>
      </c>
      <c r="C11" s="237" t="s">
        <v>65</v>
      </c>
      <c r="D11" s="199"/>
      <c r="E11" s="957">
        <f>'23.其他業務成本明細7級(X)'!E10</f>
        <v>380</v>
      </c>
      <c r="F11" s="25" t="e">
        <f>SUM(#REF!)</f>
        <v>#REF!</v>
      </c>
    </row>
    <row r="12" spans="1:6" s="48" customFormat="1" ht="25.05" customHeight="1">
      <c r="A12" s="951">
        <f>'23.其他業務成本明細7級(X)'!A14</f>
        <v>72</v>
      </c>
      <c r="B12" s="204">
        <v>80</v>
      </c>
      <c r="C12" s="237" t="s">
        <v>66</v>
      </c>
      <c r="D12" s="199"/>
      <c r="E12" s="958">
        <f>'23.其他業務成本明細7級(X)'!E14</f>
        <v>98</v>
      </c>
      <c r="F12" s="25"/>
    </row>
    <row r="13" spans="1:6" s="48" customFormat="1" ht="25.05" customHeight="1">
      <c r="A13" s="951">
        <v>0</v>
      </c>
      <c r="B13" s="204">
        <v>0</v>
      </c>
      <c r="C13" s="237" t="s">
        <v>67</v>
      </c>
      <c r="D13" s="199"/>
      <c r="E13" s="958">
        <f>'23.其他業務成本明細7級(X)'!E18</f>
        <v>0</v>
      </c>
      <c r="F13" s="42"/>
    </row>
    <row r="14" spans="1:6" ht="25.05" customHeight="1">
      <c r="A14" s="205">
        <f>'23.其他業務成本明細7級(X)'!A21</f>
        <v>112</v>
      </c>
      <c r="B14" s="157">
        <v>0</v>
      </c>
      <c r="C14" s="237" t="s">
        <v>68</v>
      </c>
      <c r="D14" s="199"/>
      <c r="E14" s="957">
        <f>'23.其他業務成本明細7級(X)'!E21</f>
        <v>0</v>
      </c>
    </row>
    <row r="15" spans="1:6" ht="25.05" customHeight="1">
      <c r="A15" s="205">
        <v>0</v>
      </c>
      <c r="B15" s="157">
        <v>460</v>
      </c>
      <c r="C15" s="237" t="s">
        <v>84</v>
      </c>
      <c r="D15" s="199"/>
      <c r="E15" s="957">
        <f>'23.其他業務成本明細7級(X)'!E23</f>
        <v>460</v>
      </c>
    </row>
    <row r="16" spans="1:6" ht="25.05" customHeight="1">
      <c r="A16" s="205">
        <f>'23.其他業務成本明細7級(X)'!A27</f>
        <v>0</v>
      </c>
      <c r="B16" s="157">
        <f>'23.其他業務成本明細7級(X)'!B27</f>
        <v>0</v>
      </c>
      <c r="C16" s="237" t="s">
        <v>69</v>
      </c>
      <c r="D16" s="199"/>
      <c r="E16" s="957">
        <f>'23.其他業務成本明細7級(X)'!E27</f>
        <v>0</v>
      </c>
    </row>
    <row r="17" spans="1:5" ht="25.05" customHeight="1">
      <c r="A17" s="205">
        <f>'23.其他業務成本明細7級(X)'!A30</f>
        <v>48</v>
      </c>
      <c r="B17" s="157">
        <v>80</v>
      </c>
      <c r="C17" s="237" t="s">
        <v>70</v>
      </c>
      <c r="D17" s="199"/>
      <c r="E17" s="957">
        <f>'23.其他業務成本明細7級(X)'!E30</f>
        <v>62</v>
      </c>
    </row>
    <row r="18" spans="1:5" ht="25.05" customHeight="1">
      <c r="A18" s="205">
        <f>'23.其他業務成本明細7級(X)'!A34</f>
        <v>0</v>
      </c>
      <c r="B18" s="157">
        <f>'23.其他業務成本明細7級(X)'!B34</f>
        <v>0</v>
      </c>
      <c r="C18" s="237" t="s">
        <v>71</v>
      </c>
      <c r="D18" s="199"/>
      <c r="E18" s="957">
        <f>'23.其他業務成本明細7級(X)'!E34</f>
        <v>0</v>
      </c>
    </row>
    <row r="19" spans="1:5" s="97" customFormat="1" ht="25.05" customHeight="1">
      <c r="A19" s="482">
        <f>SUM(A20:A21)</f>
        <v>0</v>
      </c>
      <c r="B19" s="196">
        <f>SUM(B20:B21)</f>
        <v>99</v>
      </c>
      <c r="C19" s="88" t="s">
        <v>994</v>
      </c>
      <c r="D19" s="509"/>
      <c r="E19" s="955">
        <f>SUM(E20:E21)</f>
        <v>99</v>
      </c>
    </row>
    <row r="20" spans="1:5" ht="25.05" customHeight="1">
      <c r="A20" s="205">
        <f>'23.其他業務成本明細7級(X)'!A37</f>
        <v>0</v>
      </c>
      <c r="B20" s="157">
        <f>'23.其他業務成本明細7級(X)'!B37</f>
        <v>0</v>
      </c>
      <c r="C20" s="237" t="s">
        <v>72</v>
      </c>
      <c r="D20" s="199"/>
      <c r="E20" s="957">
        <f>'23.其他業務成本明細7級(X)'!E37</f>
        <v>0</v>
      </c>
    </row>
    <row r="21" spans="1:5" ht="25.05" customHeight="1">
      <c r="A21" s="205">
        <f>'23.其他業務成本明細7級(X)'!A40</f>
        <v>0</v>
      </c>
      <c r="B21" s="157">
        <v>99</v>
      </c>
      <c r="C21" s="237" t="s">
        <v>73</v>
      </c>
      <c r="D21" s="199"/>
      <c r="E21" s="957">
        <f>'23.其他業務成本明細7級(X)'!E40</f>
        <v>99</v>
      </c>
    </row>
    <row r="22" spans="1:5" s="97" customFormat="1" ht="25.05" customHeight="1">
      <c r="A22" s="482">
        <f>SUM(A23:A25)</f>
        <v>0</v>
      </c>
      <c r="B22" s="196">
        <f>SUM(B23:C25)</f>
        <v>0</v>
      </c>
      <c r="C22" s="88" t="s">
        <v>613</v>
      </c>
      <c r="D22" s="509"/>
      <c r="E22" s="955">
        <f>SUM(E23:F25)</f>
        <v>0</v>
      </c>
    </row>
    <row r="23" spans="1:5" ht="25.05" customHeight="1">
      <c r="A23" s="205">
        <f>'23.其他業務成本明細7級(X)'!A47</f>
        <v>0</v>
      </c>
      <c r="B23" s="157">
        <f>'23.其他業務成本明細7級(X)'!B47</f>
        <v>0</v>
      </c>
      <c r="C23" s="237" t="s">
        <v>25</v>
      </c>
      <c r="D23" s="199"/>
      <c r="E23" s="957">
        <f>'23.其他業務成本明細7級(X)'!E47</f>
        <v>0</v>
      </c>
    </row>
    <row r="24" spans="1:5" ht="25.05" customHeight="1">
      <c r="A24" s="205">
        <f>'23.其他業務成本明細7級(X)'!A49</f>
        <v>0</v>
      </c>
      <c r="B24" s="157">
        <f>'23.其他業務成本明細7級(X)'!B49</f>
        <v>0</v>
      </c>
      <c r="C24" s="237" t="s">
        <v>26</v>
      </c>
      <c r="D24" s="199"/>
      <c r="E24" s="957">
        <f>'23.其他業務成本明細7級(X)'!E49</f>
        <v>0</v>
      </c>
    </row>
    <row r="25" spans="1:5" ht="25.05" customHeight="1">
      <c r="A25" s="205">
        <f>'23.其他業務成本明細7級(X)'!A51</f>
        <v>0</v>
      </c>
      <c r="B25" s="157">
        <f>'23.其他業務成本明細7級(X)'!B51</f>
        <v>0</v>
      </c>
      <c r="C25" s="237" t="s">
        <v>74</v>
      </c>
      <c r="D25" s="199"/>
      <c r="E25" s="957">
        <f>'23.其他業務成本明細7級(X)'!E51</f>
        <v>0</v>
      </c>
    </row>
    <row r="26" spans="1:5" s="97" customFormat="1" ht="25.05" customHeight="1">
      <c r="A26" s="482">
        <f>SUM(A27)</f>
        <v>0</v>
      </c>
      <c r="B26" s="196">
        <f>SUM(B27)</f>
        <v>0</v>
      </c>
      <c r="C26" s="88" t="s">
        <v>995</v>
      </c>
      <c r="D26" s="509"/>
      <c r="E26" s="955">
        <f>SUM(E27)</f>
        <v>0</v>
      </c>
    </row>
    <row r="27" spans="1:5" ht="25.05" customHeight="1">
      <c r="A27" s="205">
        <f>'23.其他業務成本明細7級(X)'!A54</f>
        <v>0</v>
      </c>
      <c r="B27" s="157">
        <f>'23.其他業務成本明細7級(X)'!B53</f>
        <v>0</v>
      </c>
      <c r="C27" s="237" t="s">
        <v>23</v>
      </c>
      <c r="D27" s="199"/>
      <c r="E27" s="957">
        <f>'23.其他業務成本明細7級(X)'!E53</f>
        <v>0</v>
      </c>
    </row>
    <row r="28" spans="1:5" ht="25.05" customHeight="1">
      <c r="A28" s="205"/>
      <c r="B28" s="157"/>
      <c r="C28" s="237"/>
      <c r="D28" s="199"/>
      <c r="E28" s="957"/>
    </row>
    <row r="29" spans="1:5" ht="25.05" customHeight="1">
      <c r="A29" s="205"/>
      <c r="B29" s="157"/>
      <c r="C29" s="237"/>
      <c r="D29" s="199"/>
      <c r="E29" s="957"/>
    </row>
    <row r="30" spans="1:5" ht="25.05" customHeight="1">
      <c r="A30" s="205"/>
      <c r="B30" s="157"/>
      <c r="C30" s="237"/>
      <c r="D30" s="199"/>
      <c r="E30" s="957"/>
    </row>
    <row r="31" spans="1:5" ht="25.05" customHeight="1">
      <c r="A31" s="205"/>
      <c r="B31" s="157"/>
      <c r="C31" s="86"/>
      <c r="D31" s="199"/>
      <c r="E31" s="957"/>
    </row>
    <row r="32" spans="1:5" ht="25.05" customHeight="1">
      <c r="A32" s="205"/>
      <c r="B32" s="157"/>
      <c r="C32" s="80"/>
      <c r="D32" s="206"/>
      <c r="E32" s="957"/>
    </row>
    <row r="33" spans="1:5" s="97" customFormat="1" ht="28.8" customHeight="1" thickBot="1">
      <c r="A33" s="952">
        <f>A8</f>
        <v>232</v>
      </c>
      <c r="B33" s="953">
        <f>B8</f>
        <v>1099</v>
      </c>
      <c r="C33" s="1147" t="s">
        <v>440</v>
      </c>
      <c r="D33" s="1148"/>
      <c r="E33" s="823">
        <f>E8</f>
        <v>1099</v>
      </c>
    </row>
  </sheetData>
  <mergeCells count="10">
    <mergeCell ref="A1:E1"/>
    <mergeCell ref="A2:E2"/>
    <mergeCell ref="A3:E3"/>
    <mergeCell ref="A4:E4"/>
    <mergeCell ref="B6:B7"/>
    <mergeCell ref="C9:D9"/>
    <mergeCell ref="C33:D33"/>
    <mergeCell ref="A6:A7"/>
    <mergeCell ref="E6:E7"/>
    <mergeCell ref="C6:D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6" orientation="portrait" blackAndWhite="1" useFirstPageNumber="1" r:id="rId1"/>
  <headerFooter scaleWithDoc="0" alignWithMargins="0">
    <oddFooter>&amp;C&amp;"Arial Unicode MS,標準"&amp;P</oddFooter>
  </headerFooter>
</worksheet>
</file>

<file path=xl/worksheets/sheet21.xml><?xml version="1.0" encoding="utf-8"?>
<worksheet xmlns="http://schemas.openxmlformats.org/spreadsheetml/2006/main" xmlns:r="http://schemas.openxmlformats.org/officeDocument/2006/relationships">
  <sheetPr codeName="Sheet20"/>
  <dimension ref="A1:G76"/>
  <sheetViews>
    <sheetView view="pageBreakPreview" topLeftCell="A65" zoomScaleNormal="75" zoomScaleSheetLayoutView="75" workbookViewId="0">
      <selection activeCell="B11" sqref="B11"/>
    </sheetView>
  </sheetViews>
  <sheetFormatPr defaultColWidth="9" defaultRowHeight="16.2"/>
  <cols>
    <col min="1" max="2" width="15.6640625" style="34" customWidth="1"/>
    <col min="3" max="3" width="7.6640625" style="34" customWidth="1"/>
    <col min="4" max="4" width="35.6640625" style="34" customWidth="1"/>
    <col min="5" max="5" width="15.6640625" style="34" customWidth="1"/>
    <col min="6" max="6" width="8.77734375" style="34" hidden="1" customWidth="1"/>
    <col min="7" max="7" width="9.21875" style="153" bestFit="1" customWidth="1"/>
    <col min="8" max="16384" width="9" style="34"/>
  </cols>
  <sheetData>
    <row r="1" spans="1:7" ht="24.6">
      <c r="A1" s="1023" t="s">
        <v>455</v>
      </c>
      <c r="B1" s="1023"/>
      <c r="C1" s="1023"/>
      <c r="D1" s="1023"/>
      <c r="E1" s="1023"/>
      <c r="F1" s="36"/>
    </row>
    <row r="2" spans="1:7" ht="22.2">
      <c r="A2" s="1034" t="s">
        <v>456</v>
      </c>
      <c r="B2" s="1034"/>
      <c r="C2" s="1034"/>
      <c r="D2" s="1034"/>
      <c r="E2" s="1034"/>
      <c r="F2" s="37"/>
    </row>
    <row r="3" spans="1:7" ht="22.2">
      <c r="A3" s="1033" t="s">
        <v>19</v>
      </c>
      <c r="B3" s="1033"/>
      <c r="C3" s="1033"/>
      <c r="D3" s="1033"/>
      <c r="E3" s="1033"/>
      <c r="F3" s="38"/>
    </row>
    <row r="4" spans="1:7" ht="19.8">
      <c r="A4" s="1097" t="s">
        <v>1081</v>
      </c>
      <c r="B4" s="1097"/>
      <c r="C4" s="1097"/>
      <c r="D4" s="1097"/>
      <c r="E4" s="1097"/>
      <c r="F4" s="39"/>
    </row>
    <row r="5" spans="1:7" ht="16.8" thickBot="1">
      <c r="A5" s="1163" t="s">
        <v>646</v>
      </c>
      <c r="B5" s="1163"/>
      <c r="C5" s="1163"/>
      <c r="D5" s="1163"/>
      <c r="E5" s="1163"/>
      <c r="F5" s="41"/>
    </row>
    <row r="6" spans="1:7" s="45" customFormat="1" ht="21" customHeight="1">
      <c r="A6" s="1152" t="s">
        <v>457</v>
      </c>
      <c r="B6" s="1152" t="s">
        <v>458</v>
      </c>
      <c r="C6" s="1155" t="s">
        <v>459</v>
      </c>
      <c r="D6" s="1156"/>
      <c r="E6" s="1154" t="s">
        <v>460</v>
      </c>
      <c r="F6" s="74"/>
      <c r="G6" s="154"/>
    </row>
    <row r="7" spans="1:7" s="45" customFormat="1" ht="21" customHeight="1" thickBot="1">
      <c r="A7" s="1153"/>
      <c r="B7" s="1153"/>
      <c r="C7" s="1157"/>
      <c r="D7" s="1158"/>
      <c r="E7" s="1153"/>
      <c r="F7" s="75"/>
      <c r="G7" s="154"/>
    </row>
    <row r="8" spans="1:7" s="45" customFormat="1" ht="23.25" customHeight="1">
      <c r="A8" s="894">
        <f>SUM(A9,A36,A46,A53)</f>
        <v>232</v>
      </c>
      <c r="B8" s="32">
        <f>SUM(B9,B36,B46,B53)</f>
        <v>0</v>
      </c>
      <c r="C8" s="46" t="s">
        <v>20</v>
      </c>
      <c r="D8" s="47"/>
      <c r="E8" s="894">
        <f>SUM(E9,E36,E46,E53)</f>
        <v>1099</v>
      </c>
      <c r="F8" s="32" t="e">
        <f>#REF!+F9+F36+F46+#REF!+#REF!+#REF!+#REF!+#REF!</f>
        <v>#REF!</v>
      </c>
      <c r="G8" s="154" t="e">
        <f t="shared" ref="G8:G32" si="0">E8/B8</f>
        <v>#DIV/0!</v>
      </c>
    </row>
    <row r="9" spans="1:7" s="48" customFormat="1" ht="23.25" customHeight="1">
      <c r="A9" s="895">
        <f>SUM(A10,A14,A18,A21,A23,A27,A30,A34)</f>
        <v>232</v>
      </c>
      <c r="B9" s="25">
        <f>SUM(B10,B14,B18,B21,B23,B27,B30,B34)</f>
        <v>0</v>
      </c>
      <c r="C9" s="54" t="s">
        <v>461</v>
      </c>
      <c r="D9" s="42"/>
      <c r="E9" s="895">
        <f>SUM(E10,E14,E18,E21,E23,E27,E30,E34)</f>
        <v>1000</v>
      </c>
      <c r="F9" s="25" t="e">
        <f>SUM(F10,F14,F18,F21,F34,F30,#REF!)</f>
        <v>#REF!</v>
      </c>
      <c r="G9" s="154" t="e">
        <f t="shared" si="0"/>
        <v>#DIV/0!</v>
      </c>
    </row>
    <row r="10" spans="1:7" s="48" customFormat="1" ht="23.25" customHeight="1">
      <c r="A10" s="895">
        <f>SUM(A11:A13)</f>
        <v>0</v>
      </c>
      <c r="B10" s="25">
        <f>SUM(B11:C13)</f>
        <v>0</v>
      </c>
      <c r="C10" s="199" t="s">
        <v>462</v>
      </c>
      <c r="D10" s="42"/>
      <c r="E10" s="895">
        <f>SUM(E11:F13)</f>
        <v>380</v>
      </c>
      <c r="F10" s="25">
        <f>SUM(F11:F12)</f>
        <v>0</v>
      </c>
      <c r="G10" s="154" t="e">
        <f t="shared" si="0"/>
        <v>#DIV/0!</v>
      </c>
    </row>
    <row r="11" spans="1:7" s="48" customFormat="1" ht="23.25" customHeight="1">
      <c r="A11" s="871">
        <v>0</v>
      </c>
      <c r="B11" s="155">
        <v>0</v>
      </c>
      <c r="C11" s="49" t="s">
        <v>463</v>
      </c>
      <c r="D11" s="42"/>
      <c r="E11" s="871">
        <v>370</v>
      </c>
      <c r="F11" s="25"/>
      <c r="G11" s="154" t="e">
        <f t="shared" si="0"/>
        <v>#DIV/0!</v>
      </c>
    </row>
    <row r="12" spans="1:7" s="48" customFormat="1" ht="23.25" customHeight="1">
      <c r="A12" s="871">
        <v>0</v>
      </c>
      <c r="B12" s="155">
        <v>0</v>
      </c>
      <c r="C12" s="49" t="s">
        <v>464</v>
      </c>
      <c r="D12" s="42"/>
      <c r="E12" s="871">
        <v>10</v>
      </c>
      <c r="F12" s="25"/>
      <c r="G12" s="154" t="e">
        <f t="shared" si="0"/>
        <v>#DIV/0!</v>
      </c>
    </row>
    <row r="13" spans="1:7" s="48" customFormat="1" ht="23.25" customHeight="1">
      <c r="A13" s="871">
        <v>0</v>
      </c>
      <c r="B13" s="155">
        <v>0</v>
      </c>
      <c r="C13" s="52" t="s">
        <v>465</v>
      </c>
      <c r="D13" s="42"/>
      <c r="E13" s="871">
        <v>0</v>
      </c>
      <c r="F13" s="25"/>
      <c r="G13" s="154" t="e">
        <f t="shared" si="0"/>
        <v>#DIV/0!</v>
      </c>
    </row>
    <row r="14" spans="1:7" s="48" customFormat="1" ht="23.25" customHeight="1">
      <c r="A14" s="895">
        <f>SUM(A15:A16)</f>
        <v>72</v>
      </c>
      <c r="B14" s="25">
        <f>SUM(B15:B16)</f>
        <v>0</v>
      </c>
      <c r="C14" s="86" t="s">
        <v>466</v>
      </c>
      <c r="D14" s="43"/>
      <c r="E14" s="895">
        <f>SUM(E15:E17)</f>
        <v>98</v>
      </c>
      <c r="F14" s="25">
        <f>SUM(F15:F16)</f>
        <v>0</v>
      </c>
      <c r="G14" s="154" t="e">
        <f t="shared" si="0"/>
        <v>#DIV/0!</v>
      </c>
    </row>
    <row r="15" spans="1:7" s="48" customFormat="1" ht="23.25" customHeight="1">
      <c r="A15" s="871">
        <v>72</v>
      </c>
      <c r="B15" s="155">
        <v>0</v>
      </c>
      <c r="C15" s="44" t="s">
        <v>467</v>
      </c>
      <c r="D15" s="43"/>
      <c r="E15" s="871">
        <v>98</v>
      </c>
      <c r="G15" s="154" t="e">
        <f t="shared" si="0"/>
        <v>#DIV/0!</v>
      </c>
    </row>
    <row r="16" spans="1:7" s="48" customFormat="1" ht="23.25" customHeight="1">
      <c r="A16" s="871">
        <v>0</v>
      </c>
      <c r="B16" s="155">
        <v>0</v>
      </c>
      <c r="C16" s="44" t="s">
        <v>468</v>
      </c>
      <c r="D16" s="43"/>
      <c r="E16" s="871">
        <v>0</v>
      </c>
      <c r="G16" s="154" t="e">
        <f t="shared" si="0"/>
        <v>#DIV/0!</v>
      </c>
    </row>
    <row r="17" spans="1:7" s="48" customFormat="1" ht="23.25" customHeight="1">
      <c r="A17" s="871"/>
      <c r="B17" s="155"/>
      <c r="C17" s="44" t="s">
        <v>873</v>
      </c>
      <c r="D17" s="43"/>
      <c r="E17" s="871">
        <v>0</v>
      </c>
      <c r="G17" s="154"/>
    </row>
    <row r="18" spans="1:7" s="48" customFormat="1" ht="23.25" customHeight="1">
      <c r="A18" s="895">
        <f>SUM(A19:A20)</f>
        <v>0</v>
      </c>
      <c r="B18" s="25">
        <f>SUM(B19:B20)</f>
        <v>0</v>
      </c>
      <c r="C18" s="86" t="s">
        <v>469</v>
      </c>
      <c r="D18" s="43"/>
      <c r="E18" s="895">
        <f>SUM(E19:E20)</f>
        <v>0</v>
      </c>
      <c r="F18" s="25">
        <f>SUM(F19:F20)</f>
        <v>0</v>
      </c>
      <c r="G18" s="154" t="e">
        <f t="shared" si="0"/>
        <v>#DIV/0!</v>
      </c>
    </row>
    <row r="19" spans="1:7" s="48" customFormat="1" ht="23.25" customHeight="1">
      <c r="A19" s="871">
        <v>0</v>
      </c>
      <c r="B19" s="155">
        <v>0</v>
      </c>
      <c r="C19" s="44" t="s">
        <v>470</v>
      </c>
      <c r="D19" s="43"/>
      <c r="E19" s="871">
        <v>0</v>
      </c>
      <c r="G19" s="154" t="e">
        <f t="shared" si="0"/>
        <v>#DIV/0!</v>
      </c>
    </row>
    <row r="20" spans="1:7" s="48" customFormat="1" ht="23.25" customHeight="1">
      <c r="A20" s="871"/>
      <c r="B20" s="155"/>
      <c r="C20" s="116" t="s">
        <v>471</v>
      </c>
      <c r="D20" s="43"/>
      <c r="E20" s="871">
        <v>0</v>
      </c>
      <c r="G20" s="154" t="e">
        <f t="shared" si="0"/>
        <v>#DIV/0!</v>
      </c>
    </row>
    <row r="21" spans="1:7" s="48" customFormat="1" ht="23.25" customHeight="1">
      <c r="A21" s="895">
        <f>A22</f>
        <v>112</v>
      </c>
      <c r="B21" s="25">
        <f>SUM(B22:B22)</f>
        <v>0</v>
      </c>
      <c r="C21" s="86" t="s">
        <v>472</v>
      </c>
      <c r="D21" s="43"/>
      <c r="E21" s="895">
        <f>SUM(E22:E22)</f>
        <v>0</v>
      </c>
      <c r="F21" s="25">
        <f>SUM(F22:F22)</f>
        <v>0</v>
      </c>
      <c r="G21" s="154" t="e">
        <f t="shared" si="0"/>
        <v>#DIV/0!</v>
      </c>
    </row>
    <row r="22" spans="1:7" s="48" customFormat="1" ht="23.25" customHeight="1">
      <c r="A22" s="871">
        <v>112</v>
      </c>
      <c r="B22" s="155"/>
      <c r="C22" s="44" t="s">
        <v>473</v>
      </c>
      <c r="D22" s="43"/>
      <c r="E22" s="871">
        <v>0</v>
      </c>
      <c r="G22" s="154" t="e">
        <f t="shared" si="0"/>
        <v>#DIV/0!</v>
      </c>
    </row>
    <row r="23" spans="1:7" s="48" customFormat="1" ht="23.25" customHeight="1">
      <c r="A23" s="895"/>
      <c r="B23" s="25">
        <f>SUM(B24:B26)</f>
        <v>0</v>
      </c>
      <c r="C23" s="80" t="s">
        <v>453</v>
      </c>
      <c r="D23" s="43"/>
      <c r="E23" s="895">
        <f>SUM(E24:E26)</f>
        <v>460</v>
      </c>
      <c r="G23" s="154" t="e">
        <f t="shared" si="0"/>
        <v>#DIV/0!</v>
      </c>
    </row>
    <row r="24" spans="1:7" s="48" customFormat="1" ht="23.25" customHeight="1">
      <c r="A24" s="871">
        <v>0</v>
      </c>
      <c r="B24" s="155">
        <v>0</v>
      </c>
      <c r="C24" s="52" t="s">
        <v>474</v>
      </c>
      <c r="D24" s="43"/>
      <c r="E24" s="871">
        <v>260</v>
      </c>
      <c r="G24" s="154" t="e">
        <f t="shared" si="0"/>
        <v>#DIV/0!</v>
      </c>
    </row>
    <row r="25" spans="1:7" s="48" customFormat="1" ht="23.25" customHeight="1">
      <c r="A25" s="871">
        <v>0</v>
      </c>
      <c r="B25" s="155">
        <v>0</v>
      </c>
      <c r="C25" s="52" t="s">
        <v>475</v>
      </c>
      <c r="D25" s="43"/>
      <c r="E25" s="871">
        <v>100</v>
      </c>
      <c r="G25" s="154" t="e">
        <f t="shared" si="0"/>
        <v>#DIV/0!</v>
      </c>
    </row>
    <row r="26" spans="1:7" s="48" customFormat="1" ht="23.25" customHeight="1">
      <c r="A26" s="871"/>
      <c r="B26" s="155">
        <v>0</v>
      </c>
      <c r="C26" s="52" t="s">
        <v>480</v>
      </c>
      <c r="D26" s="43"/>
      <c r="E26" s="871">
        <v>100</v>
      </c>
      <c r="G26" s="154" t="e">
        <f>E26/B26</f>
        <v>#DIV/0!</v>
      </c>
    </row>
    <row r="27" spans="1:7" s="48" customFormat="1" ht="23.25" customHeight="1">
      <c r="A27" s="895">
        <f>SUM(A28:A29)</f>
        <v>0</v>
      </c>
      <c r="B27" s="25">
        <f>SUM(B28:B29)</f>
        <v>0</v>
      </c>
      <c r="C27" s="80" t="s">
        <v>476</v>
      </c>
      <c r="D27" s="43"/>
      <c r="E27" s="895">
        <f>SUM(E28:E29)</f>
        <v>0</v>
      </c>
      <c r="G27" s="154" t="e">
        <f t="shared" si="0"/>
        <v>#DIV/0!</v>
      </c>
    </row>
    <row r="28" spans="1:7" s="48" customFormat="1" ht="23.25" hidden="1" customHeight="1">
      <c r="A28" s="871">
        <v>0</v>
      </c>
      <c r="B28" s="155">
        <v>0</v>
      </c>
      <c r="C28" s="52" t="s">
        <v>477</v>
      </c>
      <c r="D28" s="43"/>
      <c r="E28" s="871">
        <v>0</v>
      </c>
      <c r="G28" s="154" t="e">
        <f t="shared" si="0"/>
        <v>#DIV/0!</v>
      </c>
    </row>
    <row r="29" spans="1:7" s="48" customFormat="1" ht="23.25" hidden="1" customHeight="1">
      <c r="A29" s="871">
        <v>0</v>
      </c>
      <c r="B29" s="155">
        <v>0</v>
      </c>
      <c r="C29" s="52" t="s">
        <v>478</v>
      </c>
      <c r="D29" s="43"/>
      <c r="E29" s="871">
        <v>0</v>
      </c>
      <c r="G29" s="154" t="e">
        <f t="shared" si="0"/>
        <v>#DIV/0!</v>
      </c>
    </row>
    <row r="30" spans="1:7" s="48" customFormat="1" ht="23.25" customHeight="1">
      <c r="A30" s="895">
        <f>SUM(A31:A33)</f>
        <v>48</v>
      </c>
      <c r="B30" s="25">
        <f>SUM(B31:B33)</f>
        <v>0</v>
      </c>
      <c r="C30" s="1130" t="s">
        <v>0</v>
      </c>
      <c r="D30" s="1131"/>
      <c r="E30" s="895">
        <f>SUM(E31:E33)</f>
        <v>62</v>
      </c>
      <c r="F30" s="25">
        <f>SUM(F31:F32)</f>
        <v>0</v>
      </c>
      <c r="G30" s="154" t="e">
        <f t="shared" si="0"/>
        <v>#DIV/0!</v>
      </c>
    </row>
    <row r="31" spans="1:7" s="48" customFormat="1" ht="23.25" customHeight="1">
      <c r="A31" s="871">
        <v>48</v>
      </c>
      <c r="B31" s="155">
        <v>0</v>
      </c>
      <c r="C31" s="1161" t="s">
        <v>1</v>
      </c>
      <c r="D31" s="1162"/>
      <c r="E31" s="871">
        <v>62</v>
      </c>
      <c r="G31" s="154" t="e">
        <f t="shared" si="0"/>
        <v>#DIV/0!</v>
      </c>
    </row>
    <row r="32" spans="1:7" s="48" customFormat="1" ht="23.25" customHeight="1">
      <c r="A32" s="871">
        <v>0</v>
      </c>
      <c r="B32" s="155">
        <v>0</v>
      </c>
      <c r="C32" s="78" t="s">
        <v>2</v>
      </c>
      <c r="D32" s="465"/>
      <c r="E32" s="871">
        <v>0</v>
      </c>
      <c r="G32" s="154" t="e">
        <f t="shared" si="0"/>
        <v>#DIV/0!</v>
      </c>
    </row>
    <row r="33" spans="1:7" s="48" customFormat="1" ht="23.25" customHeight="1">
      <c r="A33" s="871">
        <v>0</v>
      </c>
      <c r="B33" s="155">
        <v>0</v>
      </c>
      <c r="C33" s="50" t="s">
        <v>3</v>
      </c>
      <c r="D33" s="466"/>
      <c r="E33" s="871">
        <v>0</v>
      </c>
      <c r="G33" s="154" t="e">
        <f t="shared" ref="G33:G44" si="1">E33/B33</f>
        <v>#DIV/0!</v>
      </c>
    </row>
    <row r="34" spans="1:7" s="48" customFormat="1" ht="23.25" customHeight="1">
      <c r="A34" s="895">
        <f>SUM(A35:A35)</f>
        <v>0</v>
      </c>
      <c r="B34" s="25">
        <f>SUM(B35:B35)</f>
        <v>0</v>
      </c>
      <c r="C34" s="80" t="s">
        <v>4</v>
      </c>
      <c r="D34" s="43"/>
      <c r="E34" s="895">
        <f>SUM(E35:E35)</f>
        <v>0</v>
      </c>
      <c r="F34" s="25" t="e">
        <f>SUM(#REF!)</f>
        <v>#REF!</v>
      </c>
      <c r="G34" s="154" t="e">
        <f t="shared" si="1"/>
        <v>#DIV/0!</v>
      </c>
    </row>
    <row r="35" spans="1:7" s="48" customFormat="1" ht="23.25" hidden="1" customHeight="1">
      <c r="A35" s="871">
        <v>0</v>
      </c>
      <c r="B35" s="155">
        <v>0</v>
      </c>
      <c r="C35" s="81" t="s">
        <v>5</v>
      </c>
      <c r="D35" s="43"/>
      <c r="E35" s="871">
        <v>0</v>
      </c>
      <c r="F35" s="42"/>
      <c r="G35" s="154" t="e">
        <f t="shared" si="1"/>
        <v>#DIV/0!</v>
      </c>
    </row>
    <row r="36" spans="1:7" s="51" customFormat="1" ht="23.25" customHeight="1" thickBot="1">
      <c r="A36" s="911">
        <f>SUM(A37,A40)</f>
        <v>0</v>
      </c>
      <c r="B36" s="483">
        <f>SUM(B37,B40)</f>
        <v>0</v>
      </c>
      <c r="C36" s="1159" t="s">
        <v>6</v>
      </c>
      <c r="D36" s="1160"/>
      <c r="E36" s="911">
        <f>SUM(E37,E40)</f>
        <v>99</v>
      </c>
      <c r="F36" s="25">
        <f>F40</f>
        <v>0</v>
      </c>
      <c r="G36" s="154" t="e">
        <f t="shared" si="1"/>
        <v>#DIV/0!</v>
      </c>
    </row>
    <row r="37" spans="1:7" s="51" customFormat="1" ht="23.25" customHeight="1">
      <c r="A37" s="895">
        <f>SUM(A38:A39)</f>
        <v>0</v>
      </c>
      <c r="B37" s="25">
        <f>SUM(B38:B39)</f>
        <v>0</v>
      </c>
      <c r="C37" s="119" t="s">
        <v>7</v>
      </c>
      <c r="D37" s="79"/>
      <c r="E37" s="895">
        <f>SUM(E38:E39)</f>
        <v>0</v>
      </c>
      <c r="F37" s="25"/>
      <c r="G37" s="154" t="e">
        <f t="shared" si="1"/>
        <v>#DIV/0!</v>
      </c>
    </row>
    <row r="38" spans="1:7" s="51" customFormat="1" ht="23.25" hidden="1" customHeight="1">
      <c r="A38" s="871">
        <v>0</v>
      </c>
      <c r="B38" s="155">
        <v>0</v>
      </c>
      <c r="C38" s="24" t="s">
        <v>8</v>
      </c>
      <c r="D38" s="79"/>
      <c r="E38" s="871">
        <v>0</v>
      </c>
      <c r="F38" s="25"/>
      <c r="G38" s="154" t="e">
        <f t="shared" si="1"/>
        <v>#DIV/0!</v>
      </c>
    </row>
    <row r="39" spans="1:7" s="51" customFormat="1" ht="23.25" hidden="1" customHeight="1">
      <c r="A39" s="871">
        <v>0</v>
      </c>
      <c r="B39" s="155">
        <v>0</v>
      </c>
      <c r="C39" s="24" t="s">
        <v>9</v>
      </c>
      <c r="D39" s="79"/>
      <c r="E39" s="871">
        <v>0</v>
      </c>
      <c r="F39" s="25"/>
      <c r="G39" s="154" t="e">
        <f t="shared" si="1"/>
        <v>#DIV/0!</v>
      </c>
    </row>
    <row r="40" spans="1:7" s="51" customFormat="1" ht="23.25" customHeight="1">
      <c r="A40" s="895">
        <f>SUM(A41:A45)</f>
        <v>0</v>
      </c>
      <c r="B40" s="25">
        <f>SUM(B41:B45)</f>
        <v>0</v>
      </c>
      <c r="C40" s="1130" t="s">
        <v>10</v>
      </c>
      <c r="D40" s="1131"/>
      <c r="E40" s="895">
        <f>SUM(E41:E45)</f>
        <v>99</v>
      </c>
      <c r="F40" s="25">
        <f>F43</f>
        <v>0</v>
      </c>
      <c r="G40" s="154" t="e">
        <f t="shared" si="1"/>
        <v>#DIV/0!</v>
      </c>
    </row>
    <row r="41" spans="1:7" s="51" customFormat="1" ht="23.25" customHeight="1">
      <c r="A41" s="871">
        <v>0</v>
      </c>
      <c r="B41" s="155">
        <v>0</v>
      </c>
      <c r="C41" s="24" t="s">
        <v>614</v>
      </c>
      <c r="D41" s="77"/>
      <c r="E41" s="871">
        <v>99</v>
      </c>
      <c r="F41" s="42"/>
      <c r="G41" s="154" t="e">
        <f t="shared" si="1"/>
        <v>#DIV/0!</v>
      </c>
    </row>
    <row r="42" spans="1:7" s="51" customFormat="1" ht="23.25" hidden="1" customHeight="1">
      <c r="A42" s="871">
        <v>0</v>
      </c>
      <c r="B42" s="155">
        <v>0</v>
      </c>
      <c r="C42" s="24" t="s">
        <v>615</v>
      </c>
      <c r="D42" s="77"/>
      <c r="E42" s="871">
        <v>0</v>
      </c>
      <c r="F42" s="42"/>
      <c r="G42" s="154" t="e">
        <f t="shared" si="1"/>
        <v>#DIV/0!</v>
      </c>
    </row>
    <row r="43" spans="1:7" s="51" customFormat="1" ht="23.25" hidden="1" customHeight="1">
      <c r="A43" s="871">
        <v>0</v>
      </c>
      <c r="B43" s="155">
        <v>0</v>
      </c>
      <c r="C43" s="44" t="s">
        <v>11</v>
      </c>
      <c r="D43" s="43"/>
      <c r="E43" s="871">
        <v>0</v>
      </c>
      <c r="G43" s="154" t="e">
        <f t="shared" si="1"/>
        <v>#DIV/0!</v>
      </c>
    </row>
    <row r="44" spans="1:7" s="51" customFormat="1" ht="23.25" hidden="1" customHeight="1">
      <c r="A44" s="871">
        <v>0</v>
      </c>
      <c r="B44" s="155">
        <v>0</v>
      </c>
      <c r="C44" s="44" t="s">
        <v>616</v>
      </c>
      <c r="D44" s="43"/>
      <c r="E44" s="871">
        <v>0</v>
      </c>
      <c r="G44" s="154" t="e">
        <f t="shared" si="1"/>
        <v>#DIV/0!</v>
      </c>
    </row>
    <row r="45" spans="1:7" s="51" customFormat="1" ht="23.25" hidden="1" customHeight="1">
      <c r="A45" s="871">
        <v>0</v>
      </c>
      <c r="B45" s="155">
        <v>0</v>
      </c>
      <c r="C45" s="52" t="s">
        <v>12</v>
      </c>
      <c r="D45" s="43"/>
      <c r="E45" s="871">
        <v>0</v>
      </c>
      <c r="G45" s="154" t="e">
        <f t="shared" ref="G45:G55" si="2">E45/B45</f>
        <v>#DIV/0!</v>
      </c>
    </row>
    <row r="46" spans="1:7" s="51" customFormat="1" ht="23.25" customHeight="1">
      <c r="A46" s="895">
        <f>SUM(A47,A49,A51)</f>
        <v>0</v>
      </c>
      <c r="B46" s="25">
        <f>SUM(B47,B49,B51)</f>
        <v>0</v>
      </c>
      <c r="C46" s="1116" t="s">
        <v>13</v>
      </c>
      <c r="D46" s="1117"/>
      <c r="E46" s="895">
        <f>SUM(E47,E49,E51)</f>
        <v>0</v>
      </c>
      <c r="F46" s="25" t="e">
        <f>#REF!+F49+#REF!</f>
        <v>#REF!</v>
      </c>
      <c r="G46" s="154" t="e">
        <f t="shared" si="2"/>
        <v>#DIV/0!</v>
      </c>
    </row>
    <row r="47" spans="1:7" s="51" customFormat="1" ht="23.25" customHeight="1">
      <c r="A47" s="895">
        <f>SUM(A48)</f>
        <v>0</v>
      </c>
      <c r="B47" s="25">
        <f>SUM(B48)</f>
        <v>0</v>
      </c>
      <c r="C47" s="80" t="s">
        <v>24</v>
      </c>
      <c r="D47" s="237"/>
      <c r="E47" s="895">
        <f>SUM(E48)</f>
        <v>0</v>
      </c>
      <c r="F47" s="25"/>
      <c r="G47" s="154" t="e">
        <f t="shared" si="2"/>
        <v>#DIV/0!</v>
      </c>
    </row>
    <row r="48" spans="1:7" s="51" customFormat="1" ht="23.25" hidden="1" customHeight="1">
      <c r="A48" s="871">
        <v>0</v>
      </c>
      <c r="B48" s="155">
        <v>0</v>
      </c>
      <c r="C48" s="52" t="s">
        <v>14</v>
      </c>
      <c r="D48" s="237"/>
      <c r="E48" s="871">
        <v>0</v>
      </c>
      <c r="F48" s="25"/>
      <c r="G48" s="154" t="e">
        <f t="shared" si="2"/>
        <v>#DIV/0!</v>
      </c>
    </row>
    <row r="49" spans="1:7" s="51" customFormat="1" ht="23.25" customHeight="1">
      <c r="A49" s="912">
        <f>A50</f>
        <v>0</v>
      </c>
      <c r="B49" s="25">
        <f>B50</f>
        <v>0</v>
      </c>
      <c r="C49" s="80" t="s">
        <v>291</v>
      </c>
      <c r="D49" s="237"/>
      <c r="E49" s="895">
        <f>E50</f>
        <v>0</v>
      </c>
      <c r="F49" s="25">
        <f>F50</f>
        <v>0</v>
      </c>
      <c r="G49" s="154" t="e">
        <f t="shared" si="2"/>
        <v>#DIV/0!</v>
      </c>
    </row>
    <row r="50" spans="1:7" s="51" customFormat="1" ht="23.25" hidden="1" customHeight="1">
      <c r="A50" s="871">
        <v>0</v>
      </c>
      <c r="B50" s="155">
        <v>0</v>
      </c>
      <c r="C50" s="52" t="s">
        <v>15</v>
      </c>
      <c r="D50" s="237"/>
      <c r="E50" s="871">
        <v>0</v>
      </c>
      <c r="G50" s="154" t="e">
        <f t="shared" si="2"/>
        <v>#DIV/0!</v>
      </c>
    </row>
    <row r="51" spans="1:7" s="51" customFormat="1" ht="23.25" customHeight="1">
      <c r="A51" s="895">
        <f>A52</f>
        <v>0</v>
      </c>
      <c r="B51" s="25">
        <f>B52</f>
        <v>0</v>
      </c>
      <c r="C51" s="80" t="s">
        <v>16</v>
      </c>
      <c r="D51" s="237"/>
      <c r="E51" s="895">
        <f>E52</f>
        <v>0</v>
      </c>
      <c r="F51" s="25">
        <f>F52</f>
        <v>0</v>
      </c>
      <c r="G51" s="154" t="e">
        <f t="shared" si="2"/>
        <v>#DIV/0!</v>
      </c>
    </row>
    <row r="52" spans="1:7" s="51" customFormat="1" ht="23.25" hidden="1" customHeight="1">
      <c r="A52" s="871">
        <v>0</v>
      </c>
      <c r="B52" s="155">
        <v>0</v>
      </c>
      <c r="C52" s="52" t="s">
        <v>17</v>
      </c>
      <c r="D52" s="237"/>
      <c r="E52" s="871">
        <v>0</v>
      </c>
      <c r="G52" s="154" t="e">
        <f t="shared" si="2"/>
        <v>#DIV/0!</v>
      </c>
    </row>
    <row r="53" spans="1:7" s="51" customFormat="1" ht="23.25" customHeight="1">
      <c r="A53" s="895">
        <f>SUM(A54)</f>
        <v>0</v>
      </c>
      <c r="B53" s="25">
        <f>SUM(B54)</f>
        <v>0</v>
      </c>
      <c r="C53" s="54" t="s">
        <v>872</v>
      </c>
      <c r="D53" s="43"/>
      <c r="E53" s="895">
        <f>SUM(E54)</f>
        <v>0</v>
      </c>
      <c r="F53" s="25" t="e">
        <f>SUM(#REF!,#REF!,F54)</f>
        <v>#REF!</v>
      </c>
      <c r="G53" s="154" t="e">
        <f t="shared" si="2"/>
        <v>#DIV/0!</v>
      </c>
    </row>
    <row r="54" spans="1:7" s="51" customFormat="1" ht="23.25" customHeight="1">
      <c r="A54" s="897">
        <f>A55</f>
        <v>0</v>
      </c>
      <c r="B54" s="114">
        <f>B55</f>
        <v>0</v>
      </c>
      <c r="C54" s="80" t="s">
        <v>21</v>
      </c>
      <c r="D54" s="43"/>
      <c r="E54" s="897">
        <f>E55</f>
        <v>0</v>
      </c>
      <c r="F54" s="25">
        <f>F55</f>
        <v>0</v>
      </c>
      <c r="G54" s="154" t="e">
        <f t="shared" si="2"/>
        <v>#DIV/0!</v>
      </c>
    </row>
    <row r="55" spans="1:7" s="51" customFormat="1" ht="23.25" hidden="1" customHeight="1">
      <c r="A55" s="871">
        <v>0</v>
      </c>
      <c r="B55" s="155">
        <v>0</v>
      </c>
      <c r="C55" s="52" t="s">
        <v>22</v>
      </c>
      <c r="D55" s="43"/>
      <c r="E55" s="871">
        <v>0</v>
      </c>
      <c r="G55" s="154" t="e">
        <f t="shared" si="2"/>
        <v>#DIV/0!</v>
      </c>
    </row>
    <row r="56" spans="1:7" s="51" customFormat="1" ht="23.25" customHeight="1">
      <c r="A56" s="871"/>
      <c r="B56" s="155"/>
      <c r="C56" s="52"/>
      <c r="D56" s="43"/>
      <c r="E56" s="871"/>
      <c r="G56" s="154"/>
    </row>
    <row r="57" spans="1:7" s="51" customFormat="1" ht="23.25" customHeight="1">
      <c r="A57" s="871"/>
      <c r="B57" s="155"/>
      <c r="C57" s="52"/>
      <c r="D57" s="43"/>
      <c r="E57" s="871"/>
      <c r="G57" s="154"/>
    </row>
    <row r="58" spans="1:7" s="51" customFormat="1" ht="23.25" customHeight="1">
      <c r="A58" s="871"/>
      <c r="B58" s="155"/>
      <c r="C58" s="52"/>
      <c r="D58" s="43"/>
      <c r="E58" s="871"/>
      <c r="G58" s="154"/>
    </row>
    <row r="59" spans="1:7" s="51" customFormat="1" ht="23.25" customHeight="1">
      <c r="A59" s="871"/>
      <c r="B59" s="155"/>
      <c r="C59" s="52"/>
      <c r="D59" s="43"/>
      <c r="E59" s="871"/>
      <c r="G59" s="154"/>
    </row>
    <row r="60" spans="1:7" s="51" customFormat="1" ht="23.25" customHeight="1">
      <c r="A60" s="871"/>
      <c r="B60" s="155"/>
      <c r="C60" s="52"/>
      <c r="D60" s="43"/>
      <c r="E60" s="871"/>
      <c r="G60" s="154"/>
    </row>
    <row r="61" spans="1:7" s="51" customFormat="1" ht="23.25" customHeight="1">
      <c r="A61" s="871"/>
      <c r="B61" s="155"/>
      <c r="C61" s="52"/>
      <c r="D61" s="43"/>
      <c r="E61" s="871"/>
      <c r="G61" s="154"/>
    </row>
    <row r="62" spans="1:7" s="51" customFormat="1" ht="23.25" customHeight="1">
      <c r="A62" s="871"/>
      <c r="B62" s="155"/>
      <c r="C62" s="52"/>
      <c r="D62" s="43"/>
      <c r="E62" s="871"/>
      <c r="G62" s="154"/>
    </row>
    <row r="63" spans="1:7" s="51" customFormat="1" ht="23.25" customHeight="1">
      <c r="A63" s="871"/>
      <c r="B63" s="155"/>
      <c r="C63" s="52"/>
      <c r="D63" s="43"/>
      <c r="E63" s="871"/>
      <c r="G63" s="154"/>
    </row>
    <row r="64" spans="1:7" s="51" customFormat="1" ht="23.25" customHeight="1">
      <c r="A64" s="871"/>
      <c r="B64" s="155"/>
      <c r="C64" s="52"/>
      <c r="D64" s="43"/>
      <c r="E64" s="871"/>
      <c r="G64" s="154"/>
    </row>
    <row r="65" spans="1:7" s="51" customFormat="1" ht="23.25" customHeight="1">
      <c r="A65" s="871"/>
      <c r="B65" s="155"/>
      <c r="C65" s="52"/>
      <c r="D65" s="43"/>
      <c r="E65" s="871"/>
      <c r="G65" s="154"/>
    </row>
    <row r="66" spans="1:7" s="51" customFormat="1" ht="23.25" customHeight="1">
      <c r="A66" s="871"/>
      <c r="B66" s="155"/>
      <c r="C66" s="52"/>
      <c r="D66" s="43"/>
      <c r="E66" s="871"/>
      <c r="G66" s="154"/>
    </row>
    <row r="67" spans="1:7" s="51" customFormat="1" ht="23.25" customHeight="1">
      <c r="A67" s="871"/>
      <c r="B67" s="155"/>
      <c r="C67" s="52"/>
      <c r="D67" s="43"/>
      <c r="E67" s="871"/>
      <c r="G67" s="154"/>
    </row>
    <row r="68" spans="1:7" s="51" customFormat="1" ht="23.25" customHeight="1">
      <c r="A68" s="871"/>
      <c r="B68" s="155"/>
      <c r="C68" s="52"/>
      <c r="D68" s="43"/>
      <c r="E68" s="871"/>
      <c r="G68" s="154"/>
    </row>
    <row r="69" spans="1:7" s="51" customFormat="1" ht="23.25" customHeight="1">
      <c r="A69" s="871"/>
      <c r="B69" s="155"/>
      <c r="C69" s="52"/>
      <c r="D69" s="43"/>
      <c r="E69" s="871"/>
      <c r="G69" s="154"/>
    </row>
    <row r="70" spans="1:7" s="51" customFormat="1" ht="23.25" customHeight="1">
      <c r="A70" s="871"/>
      <c r="B70" s="155"/>
      <c r="C70" s="52"/>
      <c r="D70" s="43"/>
      <c r="E70" s="871"/>
      <c r="G70" s="154"/>
    </row>
    <row r="71" spans="1:7" s="51" customFormat="1" ht="23.25" customHeight="1">
      <c r="A71" s="871"/>
      <c r="B71" s="155"/>
      <c r="C71" s="52"/>
      <c r="D71" s="43"/>
      <c r="E71" s="871"/>
      <c r="G71" s="154"/>
    </row>
    <row r="72" spans="1:7" s="51" customFormat="1" ht="23.25" customHeight="1">
      <c r="A72" s="871"/>
      <c r="B72" s="155"/>
      <c r="C72" s="52"/>
      <c r="D72" s="43"/>
      <c r="E72" s="871"/>
      <c r="G72" s="154"/>
    </row>
    <row r="73" spans="1:7" s="51" customFormat="1" ht="23.25" customHeight="1">
      <c r="A73" s="871"/>
      <c r="B73" s="155"/>
      <c r="C73" s="52"/>
      <c r="D73" s="43"/>
      <c r="E73" s="871"/>
      <c r="G73" s="154"/>
    </row>
    <row r="74" spans="1:7" ht="23.25" customHeight="1">
      <c r="A74" s="895"/>
      <c r="B74" s="25"/>
      <c r="C74" s="81"/>
      <c r="D74" s="82"/>
      <c r="E74" s="895"/>
    </row>
    <row r="75" spans="1:7" ht="23.25" customHeight="1" thickBot="1">
      <c r="A75" s="899">
        <f>A8</f>
        <v>232</v>
      </c>
      <c r="B75" s="467">
        <f>B8</f>
        <v>0</v>
      </c>
      <c r="C75" s="1140" t="s">
        <v>18</v>
      </c>
      <c r="D75" s="1141"/>
      <c r="E75" s="899">
        <f>E8</f>
        <v>1099</v>
      </c>
      <c r="F75" s="83"/>
    </row>
    <row r="76" spans="1:7">
      <c r="A76" s="84"/>
      <c r="B76" s="84"/>
      <c r="C76" s="117"/>
      <c r="D76" s="84"/>
      <c r="E76" s="156"/>
    </row>
  </sheetData>
  <mergeCells count="15">
    <mergeCell ref="A1:E1"/>
    <mergeCell ref="A2:E2"/>
    <mergeCell ref="A3:E3"/>
    <mergeCell ref="A4:E4"/>
    <mergeCell ref="C75:D75"/>
    <mergeCell ref="A6:A7"/>
    <mergeCell ref="E6:E7"/>
    <mergeCell ref="C6:D7"/>
    <mergeCell ref="B6:B7"/>
    <mergeCell ref="C46:D46"/>
    <mergeCell ref="C40:D40"/>
    <mergeCell ref="C30:D30"/>
    <mergeCell ref="C36:D36"/>
    <mergeCell ref="C31:D31"/>
    <mergeCell ref="A5:E5"/>
  </mergeCells>
  <phoneticPr fontId="2" type="noConversion"/>
  <printOptions horizontalCentered="1"/>
  <pageMargins left="0.6692913385826772" right="0.6692913385826772" top="0.59055118110236227" bottom="0.78740157480314965" header="0.51181102362204722" footer="0.51181102362204722"/>
  <pageSetup paperSize="9" scale="97" firstPageNumber="26" orientation="portrait" useFirstPageNumber="1" r:id="rId1"/>
  <headerFooter alignWithMargins="0">
    <oddFooter>&amp;C&amp;"Arial Unicode MS,標準"&amp;P</oddFooter>
  </headerFooter>
</worksheet>
</file>

<file path=xl/worksheets/sheet22.xml><?xml version="1.0" encoding="utf-8"?>
<worksheet xmlns="http://schemas.openxmlformats.org/spreadsheetml/2006/main" xmlns:r="http://schemas.openxmlformats.org/officeDocument/2006/relationships">
  <sheetPr codeName="Sheet21">
    <tabColor rgb="FFFFFFCC"/>
  </sheetPr>
  <dimension ref="A1:F34"/>
  <sheetViews>
    <sheetView topLeftCell="A5" zoomScaleNormal="100" workbookViewId="0">
      <selection activeCell="D20" sqref="D20"/>
    </sheetView>
  </sheetViews>
  <sheetFormatPr defaultColWidth="9" defaultRowHeight="16.2"/>
  <cols>
    <col min="1" max="1" width="16.88671875" style="34" customWidth="1"/>
    <col min="2" max="2" width="17" style="34" customWidth="1"/>
    <col min="3" max="3" width="7.6640625" style="34" customWidth="1"/>
    <col min="4" max="4" width="33.109375" style="34" customWidth="1"/>
    <col min="5" max="5" width="17.6640625" style="34" customWidth="1"/>
    <col min="6" max="6" width="8.77734375" style="34" hidden="1" customWidth="1"/>
    <col min="7" max="16384" width="9" style="34"/>
  </cols>
  <sheetData>
    <row r="1" spans="1:6" ht="24.6">
      <c r="A1" s="1023" t="s">
        <v>145</v>
      </c>
      <c r="B1" s="1023"/>
      <c r="C1" s="1023"/>
      <c r="D1" s="1023"/>
      <c r="E1" s="1023"/>
      <c r="F1" s="36"/>
    </row>
    <row r="2" spans="1:6" ht="22.2">
      <c r="A2" s="1034" t="s">
        <v>146</v>
      </c>
      <c r="B2" s="1034"/>
      <c r="C2" s="1034"/>
      <c r="D2" s="1034"/>
      <c r="E2" s="1034"/>
      <c r="F2" s="37"/>
    </row>
    <row r="3" spans="1:6" ht="22.2">
      <c r="A3" s="1033" t="s">
        <v>124</v>
      </c>
      <c r="B3" s="1033"/>
      <c r="C3" s="1033"/>
      <c r="D3" s="1033"/>
      <c r="E3" s="1033"/>
      <c r="F3" s="38"/>
    </row>
    <row r="4" spans="1:6" ht="19.8">
      <c r="A4" s="1097" t="s">
        <v>1081</v>
      </c>
      <c r="B4" s="1097"/>
      <c r="C4" s="1097"/>
      <c r="D4" s="1097"/>
      <c r="E4" s="1097"/>
      <c r="F4" s="39"/>
    </row>
    <row r="5" spans="1:6" ht="16.8" thickBot="1">
      <c r="C5" s="39"/>
      <c r="D5" s="39"/>
      <c r="E5" s="40" t="s">
        <v>301</v>
      </c>
      <c r="F5" s="41"/>
    </row>
    <row r="6" spans="1:6" s="45" customFormat="1" ht="21" customHeight="1">
      <c r="A6" s="1061" t="s">
        <v>161</v>
      </c>
      <c r="B6" s="1089" t="s">
        <v>152</v>
      </c>
      <c r="C6" s="1089" t="s">
        <v>148</v>
      </c>
      <c r="D6" s="1089"/>
      <c r="E6" s="1165" t="s">
        <v>150</v>
      </c>
      <c r="F6" s="74"/>
    </row>
    <row r="7" spans="1:6" s="45" customFormat="1" ht="21" customHeight="1" thickBot="1">
      <c r="A7" s="1062"/>
      <c r="B7" s="1090"/>
      <c r="C7" s="1090"/>
      <c r="D7" s="1090"/>
      <c r="E7" s="1166"/>
      <c r="F7" s="75"/>
    </row>
    <row r="8" spans="1:6" s="45" customFormat="1" ht="25.05" customHeight="1">
      <c r="A8" s="821">
        <f>A9</f>
        <v>59</v>
      </c>
      <c r="B8" s="822">
        <v>50</v>
      </c>
      <c r="C8" s="1168" t="s">
        <v>80</v>
      </c>
      <c r="D8" s="1169"/>
      <c r="E8" s="834">
        <f>E9</f>
        <v>60</v>
      </c>
      <c r="F8" s="208"/>
    </row>
    <row r="9" spans="1:6" s="363" customFormat="1" ht="25.05" customHeight="1">
      <c r="A9" s="495">
        <f>'24.其他業務外費用明細7級(X) '!A8</f>
        <v>59</v>
      </c>
      <c r="B9" s="357">
        <v>50</v>
      </c>
      <c r="C9" s="1146" t="s">
        <v>81</v>
      </c>
      <c r="D9" s="1167"/>
      <c r="E9" s="834">
        <f>SUM(E10,E17,E20,E23,E25)</f>
        <v>60</v>
      </c>
      <c r="F9" s="370" t="e">
        <f>F14</f>
        <v>#REF!</v>
      </c>
    </row>
    <row r="10" spans="1:6" s="359" customFormat="1" ht="25.05" customHeight="1">
      <c r="A10" s="827">
        <f>SUM(A11:A14)</f>
        <v>0</v>
      </c>
      <c r="B10" s="828">
        <v>0</v>
      </c>
      <c r="C10" s="510" t="s">
        <v>82</v>
      </c>
      <c r="D10" s="364"/>
      <c r="E10" s="835">
        <f>SUM(E11:E14)</f>
        <v>0</v>
      </c>
      <c r="F10" s="370"/>
    </row>
    <row r="11" spans="1:6" s="359" customFormat="1" ht="25.05" customHeight="1">
      <c r="A11" s="829">
        <f>'24.其他業務外費用明細7級(X) '!A10</f>
        <v>0</v>
      </c>
      <c r="B11" s="365">
        <v>0</v>
      </c>
      <c r="C11" s="470" t="s">
        <v>83</v>
      </c>
      <c r="D11" s="360"/>
      <c r="E11" s="835">
        <f>'24.其他業務外費用明細7級(X) '!E10</f>
        <v>0</v>
      </c>
      <c r="F11" s="370"/>
    </row>
    <row r="12" spans="1:6" s="359" customFormat="1" ht="25.05" hidden="1" customHeight="1">
      <c r="A12" s="829">
        <f>'24.其他業務外費用明細7級(X) '!A13</f>
        <v>0</v>
      </c>
      <c r="B12" s="365">
        <v>0</v>
      </c>
      <c r="C12" s="470" t="s">
        <v>617</v>
      </c>
      <c r="D12" s="360"/>
      <c r="E12" s="835">
        <f>'24.其他業務外費用明細7級(X) '!E13</f>
        <v>0</v>
      </c>
      <c r="F12" s="370"/>
    </row>
    <row r="13" spans="1:6" s="359" customFormat="1" ht="25.05" customHeight="1">
      <c r="A13" s="829">
        <f>'24.其他業務外費用明細7級(X) '!A15</f>
        <v>0</v>
      </c>
      <c r="B13" s="365">
        <v>0</v>
      </c>
      <c r="C13" s="470" t="s">
        <v>84</v>
      </c>
      <c r="D13" s="360"/>
      <c r="E13" s="835">
        <f>'24.其他業務外費用明細7級(X) '!E15</f>
        <v>0</v>
      </c>
      <c r="F13" s="370"/>
    </row>
    <row r="14" spans="1:6" s="363" customFormat="1" ht="25.05" customHeight="1">
      <c r="A14" s="830">
        <f>'24.其他業務外費用明細7級(X) '!A20</f>
        <v>0</v>
      </c>
      <c r="B14" s="831">
        <v>0</v>
      </c>
      <c r="C14" s="470" t="s">
        <v>85</v>
      </c>
      <c r="D14" s="201"/>
      <c r="E14" s="836">
        <f>'24.其他業務外費用明細7級(X) '!E20</f>
        <v>0</v>
      </c>
      <c r="F14" s="358" t="e">
        <f>#REF!</f>
        <v>#REF!</v>
      </c>
    </row>
    <row r="15" spans="1:6" s="371" customFormat="1" ht="25.05" customHeight="1">
      <c r="A15" s="832">
        <f>SUM(A16)</f>
        <v>0</v>
      </c>
      <c r="B15" s="241">
        <v>0</v>
      </c>
      <c r="C15" s="510" t="s">
        <v>46</v>
      </c>
      <c r="D15" s="511"/>
      <c r="E15" s="837">
        <f>SUM(E16:F16)</f>
        <v>0</v>
      </c>
    </row>
    <row r="16" spans="1:6" s="371" customFormat="1" ht="25.05" customHeight="1">
      <c r="A16" s="372">
        <f>'24.其他業務外費用明細7級(X) '!A24</f>
        <v>0</v>
      </c>
      <c r="B16" s="241">
        <v>0</v>
      </c>
      <c r="C16" s="470" t="s">
        <v>47</v>
      </c>
      <c r="D16" s="360"/>
      <c r="E16" s="369">
        <f>'24.其他業務外費用明細7級(X) '!E24</f>
        <v>0</v>
      </c>
    </row>
    <row r="17" spans="1:5" s="371" customFormat="1" ht="25.05" customHeight="1">
      <c r="A17" s="832">
        <f>SUM(A18:A19)</f>
        <v>0</v>
      </c>
      <c r="B17" s="833">
        <v>0</v>
      </c>
      <c r="C17" s="510" t="s">
        <v>86</v>
      </c>
      <c r="D17" s="511"/>
      <c r="E17" s="837">
        <f>SUM(E18:E19)</f>
        <v>0</v>
      </c>
    </row>
    <row r="18" spans="1:5" s="371" customFormat="1" ht="25.05" customHeight="1">
      <c r="A18" s="372">
        <f>'24.其他業務外費用明細7級(X) '!A28</f>
        <v>0</v>
      </c>
      <c r="B18" s="241">
        <v>0</v>
      </c>
      <c r="C18" s="470" t="s">
        <v>1098</v>
      </c>
      <c r="D18" s="360"/>
      <c r="E18" s="369">
        <f>'24.其他業務外費用明細7級(X) '!E28</f>
        <v>0</v>
      </c>
    </row>
    <row r="19" spans="1:5" s="371" customFormat="1" ht="25.05" customHeight="1">
      <c r="A19" s="372">
        <f>'24.其他業務外費用明細7級(X) '!A30</f>
        <v>0</v>
      </c>
      <c r="B19" s="241">
        <v>0</v>
      </c>
      <c r="C19" s="470" t="s">
        <v>1099</v>
      </c>
      <c r="D19" s="360"/>
      <c r="E19" s="369">
        <f>'24.其他業務外費用明細7級(X) '!E30</f>
        <v>0</v>
      </c>
    </row>
    <row r="20" spans="1:5" s="371" customFormat="1" ht="25.05" customHeight="1">
      <c r="A20" s="495">
        <f>SUM(A21:A22)</f>
        <v>0</v>
      </c>
      <c r="B20" s="357">
        <v>0</v>
      </c>
      <c r="C20" s="510" t="s">
        <v>871</v>
      </c>
      <c r="D20" s="364"/>
      <c r="E20" s="369">
        <f>SUM(E21:E22)</f>
        <v>0</v>
      </c>
    </row>
    <row r="21" spans="1:5" s="371" customFormat="1" ht="25.05" customHeight="1">
      <c r="A21" s="372">
        <f>'24.其他業務外費用明細7級(X) '!A33</f>
        <v>0</v>
      </c>
      <c r="B21" s="241">
        <v>0</v>
      </c>
      <c r="C21" s="470" t="s">
        <v>664</v>
      </c>
      <c r="D21" s="360"/>
      <c r="E21" s="369">
        <f>'24.其他業務外費用明細7級(X) '!E34</f>
        <v>0</v>
      </c>
    </row>
    <row r="22" spans="1:5" s="371" customFormat="1" ht="25.05" customHeight="1">
      <c r="A22" s="372">
        <f>'24.其他業務外費用明細7級(X) '!A35</f>
        <v>0</v>
      </c>
      <c r="B22" s="241">
        <v>0</v>
      </c>
      <c r="C22" s="470" t="s">
        <v>87</v>
      </c>
      <c r="D22" s="360"/>
      <c r="E22" s="369">
        <f>'24.其他業務外費用明細7級(X) '!E35</f>
        <v>0</v>
      </c>
    </row>
    <row r="23" spans="1:5" s="371" customFormat="1" ht="25.05" customHeight="1">
      <c r="A23" s="372">
        <f>'24.其他業務外費用明細7級(X) '!A37</f>
        <v>0</v>
      </c>
      <c r="B23" s="241">
        <v>0</v>
      </c>
      <c r="C23" s="54" t="s">
        <v>665</v>
      </c>
      <c r="D23" s="360"/>
      <c r="E23" s="369">
        <f>'24.其他業務外費用明細7級(X) '!E37</f>
        <v>0</v>
      </c>
    </row>
    <row r="24" spans="1:5" s="371" customFormat="1" ht="25.05" customHeight="1">
      <c r="A24" s="372">
        <f>'24.其他業務外費用明細7級(X) '!A38</f>
        <v>0</v>
      </c>
      <c r="B24" s="241">
        <v>0</v>
      </c>
      <c r="C24" s="470" t="s">
        <v>666</v>
      </c>
      <c r="D24" s="374"/>
      <c r="E24" s="369">
        <f>'24.其他業務外費用明細7級(X) '!E37</f>
        <v>0</v>
      </c>
    </row>
    <row r="25" spans="1:5" s="371" customFormat="1" ht="25.05" customHeight="1">
      <c r="A25" s="495">
        <f>A26</f>
        <v>59</v>
      </c>
      <c r="B25" s="357">
        <v>50</v>
      </c>
      <c r="C25" s="54" t="s">
        <v>110</v>
      </c>
      <c r="D25" s="360"/>
      <c r="E25" s="834">
        <f>'24.其他業務外費用明細7級(X) '!E40</f>
        <v>60</v>
      </c>
    </row>
    <row r="26" spans="1:5" s="371" customFormat="1" ht="25.05" customHeight="1">
      <c r="A26" s="372">
        <f>'24.其他業務外費用明細7級(X) '!A42</f>
        <v>59</v>
      </c>
      <c r="B26" s="241">
        <v>50</v>
      </c>
      <c r="C26" s="470" t="s">
        <v>667</v>
      </c>
      <c r="D26" s="374"/>
      <c r="E26" s="369">
        <f>'24.其他業務外費用明細7級(X) '!E41</f>
        <v>60</v>
      </c>
    </row>
    <row r="27" spans="1:5" s="371" customFormat="1" ht="25.05" customHeight="1">
      <c r="A27" s="372"/>
      <c r="B27" s="241"/>
      <c r="C27" s="373"/>
      <c r="D27" s="374"/>
      <c r="E27" s="369"/>
    </row>
    <row r="28" spans="1:5" s="371" customFormat="1" ht="25.05" customHeight="1">
      <c r="A28" s="372"/>
      <c r="B28" s="241"/>
      <c r="C28" s="373"/>
      <c r="D28" s="374"/>
      <c r="E28" s="369"/>
    </row>
    <row r="29" spans="1:5" s="371" customFormat="1" ht="25.05" customHeight="1">
      <c r="A29" s="372"/>
      <c r="B29" s="241"/>
      <c r="C29" s="373"/>
      <c r="D29" s="374"/>
      <c r="E29" s="369"/>
    </row>
    <row r="30" spans="1:5" s="371" customFormat="1" ht="25.05" customHeight="1">
      <c r="A30" s="372"/>
      <c r="B30" s="241"/>
      <c r="C30" s="373"/>
      <c r="D30" s="374"/>
      <c r="E30" s="369"/>
    </row>
    <row r="31" spans="1:5" s="371" customFormat="1" ht="25.05" customHeight="1">
      <c r="A31" s="372"/>
      <c r="B31" s="241"/>
      <c r="C31" s="373"/>
      <c r="D31" s="374"/>
      <c r="E31" s="369"/>
    </row>
    <row r="32" spans="1:5" s="371" customFormat="1" ht="25.05" customHeight="1">
      <c r="A32" s="372"/>
      <c r="B32" s="241"/>
      <c r="C32" s="373"/>
      <c r="D32" s="374"/>
      <c r="E32" s="369"/>
    </row>
    <row r="33" spans="1:6" s="371" customFormat="1" ht="25.05" customHeight="1">
      <c r="A33" s="372"/>
      <c r="B33" s="241"/>
      <c r="C33" s="373"/>
      <c r="D33" s="374"/>
      <c r="E33" s="369"/>
    </row>
    <row r="34" spans="1:6" s="371" customFormat="1" ht="31.2" customHeight="1" thickBot="1">
      <c r="A34" s="824">
        <f>A8</f>
        <v>59</v>
      </c>
      <c r="B34" s="825">
        <f>B8</f>
        <v>50</v>
      </c>
      <c r="C34" s="1147" t="s">
        <v>440</v>
      </c>
      <c r="D34" s="1164"/>
      <c r="E34" s="826">
        <f>E8</f>
        <v>60</v>
      </c>
      <c r="F34" s="375"/>
    </row>
  </sheetData>
  <mergeCells count="11">
    <mergeCell ref="A1:E1"/>
    <mergeCell ref="A2:E2"/>
    <mergeCell ref="A3:E3"/>
    <mergeCell ref="A4:E4"/>
    <mergeCell ref="C34:D34"/>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8" orientation="portrait" blackAndWhite="1" useFirstPageNumber="1" r:id="rId1"/>
  <headerFooter scaleWithDoc="0" alignWithMargins="0">
    <oddFooter>&amp;C&amp;"Arial Unicode MS,標準"&amp;P</oddFooter>
  </headerFooter>
</worksheet>
</file>

<file path=xl/worksheets/sheet23.xml><?xml version="1.0" encoding="utf-8"?>
<worksheet xmlns="http://schemas.openxmlformats.org/spreadsheetml/2006/main" xmlns:r="http://schemas.openxmlformats.org/officeDocument/2006/relationships">
  <sheetPr codeName="Sheet22"/>
  <dimension ref="A1:G70"/>
  <sheetViews>
    <sheetView zoomScaleNormal="100" workbookViewId="0">
      <selection activeCell="A5" sqref="A5:E5"/>
    </sheetView>
  </sheetViews>
  <sheetFormatPr defaultColWidth="9" defaultRowHeight="16.2"/>
  <cols>
    <col min="1" max="2" width="15.6640625" style="34" customWidth="1"/>
    <col min="3" max="3" width="7.6640625" style="34" customWidth="1"/>
    <col min="4" max="4" width="34.109375" style="34" customWidth="1"/>
    <col min="5" max="5" width="15.6640625" style="34" customWidth="1"/>
    <col min="6" max="6" width="8.77734375" style="34" hidden="1" customWidth="1"/>
    <col min="7" max="16384" width="9" style="34"/>
  </cols>
  <sheetData>
    <row r="1" spans="1:6" ht="24.6">
      <c r="A1" s="1023" t="s">
        <v>447</v>
      </c>
      <c r="B1" s="1023"/>
      <c r="C1" s="1023"/>
      <c r="D1" s="1023"/>
      <c r="E1" s="1023"/>
      <c r="F1" s="36"/>
    </row>
    <row r="2" spans="1:6" ht="22.2">
      <c r="A2" s="1034" t="s">
        <v>146</v>
      </c>
      <c r="B2" s="1034"/>
      <c r="C2" s="1034"/>
      <c r="D2" s="1034"/>
      <c r="E2" s="1034"/>
      <c r="F2" s="37"/>
    </row>
    <row r="3" spans="1:6" ht="22.2">
      <c r="A3" s="1033" t="s">
        <v>124</v>
      </c>
      <c r="B3" s="1033"/>
      <c r="C3" s="1033"/>
      <c r="D3" s="1033"/>
      <c r="E3" s="1033"/>
      <c r="F3" s="38"/>
    </row>
    <row r="4" spans="1:6" ht="19.8">
      <c r="A4" s="1097" t="s">
        <v>1081</v>
      </c>
      <c r="B4" s="1097"/>
      <c r="C4" s="1097"/>
      <c r="D4" s="1097"/>
      <c r="E4" s="1097"/>
      <c r="F4" s="39"/>
    </row>
    <row r="5" spans="1:6" ht="16.8" thickBot="1">
      <c r="A5" s="1163" t="s">
        <v>647</v>
      </c>
      <c r="B5" s="1163"/>
      <c r="C5" s="1163"/>
      <c r="D5" s="1163"/>
      <c r="E5" s="1163"/>
      <c r="F5" s="41"/>
    </row>
    <row r="6" spans="1:6" s="45" customFormat="1" ht="21" customHeight="1">
      <c r="A6" s="1170" t="s">
        <v>161</v>
      </c>
      <c r="B6" s="1170" t="s">
        <v>152</v>
      </c>
      <c r="C6" s="1085" t="s">
        <v>148</v>
      </c>
      <c r="D6" s="1165"/>
      <c r="E6" s="1170" t="s">
        <v>150</v>
      </c>
      <c r="F6" s="74"/>
    </row>
    <row r="7" spans="1:6" s="45" customFormat="1" ht="21" customHeight="1" thickBot="1">
      <c r="A7" s="1171"/>
      <c r="B7" s="1171"/>
      <c r="C7" s="1172"/>
      <c r="D7" s="1173"/>
      <c r="E7" s="1171"/>
      <c r="F7" s="75"/>
    </row>
    <row r="8" spans="1:6" s="51" customFormat="1" ht="23.25" customHeight="1">
      <c r="A8" s="25">
        <f>A9+A23+A27+A32+A37+A40</f>
        <v>59</v>
      </c>
      <c r="B8" s="25">
        <f>B40</f>
        <v>50</v>
      </c>
      <c r="C8" s="1174" t="s">
        <v>129</v>
      </c>
      <c r="D8" s="1117"/>
      <c r="E8" s="25">
        <f>E40</f>
        <v>60</v>
      </c>
      <c r="F8" s="25">
        <f>F20</f>
        <v>0</v>
      </c>
    </row>
    <row r="9" spans="1:6" s="48" customFormat="1" ht="23.25" customHeight="1">
      <c r="A9" s="114">
        <f>A10+A15+A20+A13</f>
        <v>0</v>
      </c>
      <c r="B9" s="114">
        <f>B10+B15+B20+B13</f>
        <v>0</v>
      </c>
      <c r="C9" s="54" t="s">
        <v>302</v>
      </c>
      <c r="D9" s="118"/>
      <c r="E9" s="114">
        <f>E10+E15+E20+E13</f>
        <v>0</v>
      </c>
      <c r="F9" s="25"/>
    </row>
    <row r="10" spans="1:6" s="48" customFormat="1" ht="23.25" customHeight="1">
      <c r="A10" s="114">
        <f>SUM(A11:A12)</f>
        <v>0</v>
      </c>
      <c r="B10" s="114">
        <f>SUM(B11:B12)</f>
        <v>0</v>
      </c>
      <c r="C10" s="199" t="s">
        <v>31</v>
      </c>
      <c r="D10" s="42"/>
      <c r="E10" s="114">
        <f>SUM(E11:E12)</f>
        <v>0</v>
      </c>
      <c r="F10" s="25"/>
    </row>
    <row r="11" spans="1:6" s="48" customFormat="1" ht="23.25" customHeight="1">
      <c r="A11" s="25"/>
      <c r="B11" s="114">
        <v>0</v>
      </c>
      <c r="C11" s="49" t="s">
        <v>32</v>
      </c>
      <c r="D11" s="42"/>
      <c r="E11" s="114">
        <v>0</v>
      </c>
      <c r="F11" s="25"/>
    </row>
    <row r="12" spans="1:6" s="48" customFormat="1" ht="23.25" customHeight="1">
      <c r="A12" s="25"/>
      <c r="B12" s="114">
        <v>0</v>
      </c>
      <c r="C12" s="49" t="s">
        <v>33</v>
      </c>
      <c r="D12" s="42"/>
      <c r="E12" s="114">
        <v>0</v>
      </c>
      <c r="F12" s="25"/>
    </row>
    <row r="13" spans="1:6" s="48" customFormat="1" ht="23.25" hidden="1" customHeight="1">
      <c r="A13" s="114">
        <f>SUM(A14)</f>
        <v>0</v>
      </c>
      <c r="B13" s="114">
        <f>SUM(B14)</f>
        <v>0</v>
      </c>
      <c r="C13" s="86" t="s">
        <v>618</v>
      </c>
      <c r="D13" s="43"/>
      <c r="E13" s="114">
        <f>SUM(E14)</f>
        <v>0</v>
      </c>
      <c r="F13" s="25"/>
    </row>
    <row r="14" spans="1:6" s="48" customFormat="1" ht="23.25" hidden="1" customHeight="1">
      <c r="A14" s="25">
        <v>0</v>
      </c>
      <c r="B14" s="114">
        <v>0</v>
      </c>
      <c r="C14" s="44" t="s">
        <v>34</v>
      </c>
      <c r="D14" s="43"/>
      <c r="E14" s="114">
        <v>0</v>
      </c>
      <c r="F14" s="25"/>
    </row>
    <row r="15" spans="1:6" s="48" customFormat="1" ht="23.25" customHeight="1">
      <c r="A15" s="114">
        <f>SUM(A16:A19)</f>
        <v>0</v>
      </c>
      <c r="B15" s="114">
        <f>SUM(B16:B19)</f>
        <v>0</v>
      </c>
      <c r="C15" s="86" t="s">
        <v>35</v>
      </c>
      <c r="D15" s="43"/>
      <c r="E15" s="114">
        <f>SUM(E16:E19)</f>
        <v>0</v>
      </c>
      <c r="F15" s="25"/>
    </row>
    <row r="16" spans="1:6" s="48" customFormat="1" ht="23.25" customHeight="1">
      <c r="A16" s="25"/>
      <c r="B16" s="114">
        <v>0</v>
      </c>
      <c r="C16" s="44" t="s">
        <v>36</v>
      </c>
      <c r="D16" s="43"/>
      <c r="E16" s="114">
        <v>0</v>
      </c>
      <c r="F16" s="25"/>
    </row>
    <row r="17" spans="1:7" s="48" customFormat="1" ht="23.25" hidden="1" customHeight="1">
      <c r="A17" s="25">
        <v>0</v>
      </c>
      <c r="B17" s="114">
        <v>0</v>
      </c>
      <c r="C17" s="469" t="s">
        <v>37</v>
      </c>
      <c r="D17" s="207"/>
      <c r="E17" s="114">
        <v>0</v>
      </c>
      <c r="F17" s="25"/>
    </row>
    <row r="18" spans="1:7" s="48" customFormat="1" ht="23.25" customHeight="1">
      <c r="A18" s="25"/>
      <c r="B18" s="114">
        <v>0</v>
      </c>
      <c r="C18" s="469" t="s">
        <v>479</v>
      </c>
      <c r="D18" s="207"/>
      <c r="E18" s="114">
        <v>0</v>
      </c>
      <c r="F18" s="25"/>
    </row>
    <row r="19" spans="1:7" s="48" customFormat="1" ht="23.25" hidden="1" customHeight="1">
      <c r="A19" s="25">
        <v>0</v>
      </c>
      <c r="B19" s="114">
        <v>0</v>
      </c>
      <c r="C19" s="469" t="s">
        <v>38</v>
      </c>
      <c r="D19" s="207"/>
      <c r="E19" s="114">
        <v>0</v>
      </c>
      <c r="F19" s="25"/>
    </row>
    <row r="20" spans="1:7" s="51" customFormat="1" ht="23.25" customHeight="1">
      <c r="A20" s="25">
        <f>SUM(A21:A22)</f>
        <v>0</v>
      </c>
      <c r="B20" s="25">
        <f>SUM(B21:B22)</f>
        <v>0</v>
      </c>
      <c r="C20" s="463" t="s">
        <v>27</v>
      </c>
      <c r="D20" s="207"/>
      <c r="E20" s="25">
        <f>SUM(E21:F22)</f>
        <v>0</v>
      </c>
      <c r="F20" s="25">
        <f>F22</f>
        <v>0</v>
      </c>
    </row>
    <row r="21" spans="1:7" s="51" customFormat="1" ht="23.25" customHeight="1">
      <c r="A21" s="25"/>
      <c r="B21" s="25">
        <v>0</v>
      </c>
      <c r="C21" s="44" t="s">
        <v>39</v>
      </c>
      <c r="D21" s="77"/>
      <c r="E21" s="25">
        <v>0</v>
      </c>
      <c r="F21" s="42"/>
    </row>
    <row r="22" spans="1:7" s="51" customFormat="1" ht="23.25" customHeight="1">
      <c r="A22" s="25"/>
      <c r="B22" s="114">
        <v>0</v>
      </c>
      <c r="C22" s="44" t="s">
        <v>40</v>
      </c>
      <c r="D22" s="115"/>
      <c r="E22" s="114">
        <v>0</v>
      </c>
      <c r="G22" s="51" t="s">
        <v>482</v>
      </c>
    </row>
    <row r="23" spans="1:7" s="51" customFormat="1" ht="23.25" customHeight="1">
      <c r="A23" s="25">
        <f>A24</f>
        <v>0</v>
      </c>
      <c r="B23" s="25">
        <f>B24</f>
        <v>0</v>
      </c>
      <c r="C23" s="1116" t="s">
        <v>97</v>
      </c>
      <c r="D23" s="1117"/>
      <c r="E23" s="25">
        <f>E24</f>
        <v>0</v>
      </c>
      <c r="F23" s="25">
        <f>F28</f>
        <v>0</v>
      </c>
      <c r="G23" s="154" t="e">
        <f>E23/B23</f>
        <v>#DIV/0!</v>
      </c>
    </row>
    <row r="24" spans="1:7" s="51" customFormat="1" ht="23.25" customHeight="1">
      <c r="A24" s="25">
        <f>A26+A25</f>
        <v>0</v>
      </c>
      <c r="B24" s="25">
        <f>B26</f>
        <v>0</v>
      </c>
      <c r="C24" s="464" t="s">
        <v>41</v>
      </c>
      <c r="D24" s="79"/>
      <c r="E24" s="25">
        <f>E26</f>
        <v>0</v>
      </c>
      <c r="F24" s="25"/>
      <c r="G24" s="154" t="e">
        <f>E24/B24</f>
        <v>#DIV/0!</v>
      </c>
    </row>
    <row r="25" spans="1:7" s="51" customFormat="1" ht="23.25" customHeight="1">
      <c r="A25" s="155"/>
      <c r="B25" s="155">
        <v>0</v>
      </c>
      <c r="C25" s="76" t="s">
        <v>42</v>
      </c>
      <c r="D25" s="79"/>
      <c r="E25" s="155">
        <v>0</v>
      </c>
      <c r="F25" s="25"/>
      <c r="G25" s="154" t="e">
        <f>E25/B25</f>
        <v>#DIV/0!</v>
      </c>
    </row>
    <row r="26" spans="1:7" s="51" customFormat="1" ht="23.25" customHeight="1">
      <c r="A26" s="155"/>
      <c r="B26" s="155">
        <v>0</v>
      </c>
      <c r="C26" s="76" t="s">
        <v>656</v>
      </c>
      <c r="D26" s="79"/>
      <c r="E26" s="155">
        <v>0</v>
      </c>
      <c r="F26" s="25"/>
      <c r="G26" s="154" t="e">
        <f>E26/B26</f>
        <v>#DIV/0!</v>
      </c>
    </row>
    <row r="27" spans="1:7" ht="23.25" customHeight="1">
      <c r="A27" s="25">
        <f>A28+A30</f>
        <v>0</v>
      </c>
      <c r="B27" s="25">
        <f>SUM(B28,B30)</f>
        <v>0</v>
      </c>
      <c r="C27" s="54" t="s">
        <v>153</v>
      </c>
      <c r="D27" s="43"/>
      <c r="E27" s="25">
        <f>SUM(E28,E30)</f>
        <v>0</v>
      </c>
    </row>
    <row r="28" spans="1:7" ht="23.25" customHeight="1">
      <c r="A28" s="25">
        <f>A29</f>
        <v>0</v>
      </c>
      <c r="B28" s="25">
        <f>SUM(B29)</f>
        <v>0</v>
      </c>
      <c r="C28" s="86" t="s">
        <v>43</v>
      </c>
      <c r="D28" s="43"/>
      <c r="E28" s="25">
        <f>SUM(E29)</f>
        <v>0</v>
      </c>
    </row>
    <row r="29" spans="1:7" ht="23.25" customHeight="1">
      <c r="A29" s="25"/>
      <c r="B29" s="25">
        <v>0</v>
      </c>
      <c r="C29" s="44" t="s">
        <v>28</v>
      </c>
      <c r="D29" s="43"/>
      <c r="E29" s="25">
        <v>0</v>
      </c>
    </row>
    <row r="30" spans="1:7" ht="23.25" customHeight="1">
      <c r="A30" s="25">
        <f>A31</f>
        <v>0</v>
      </c>
      <c r="B30" s="25">
        <f>SUM(B31)</f>
        <v>0</v>
      </c>
      <c r="C30" s="86" t="s">
        <v>44</v>
      </c>
      <c r="D30" s="43"/>
      <c r="E30" s="25">
        <f>SUM(E31)</f>
        <v>0</v>
      </c>
    </row>
    <row r="31" spans="1:7" ht="23.25" customHeight="1">
      <c r="A31" s="25"/>
      <c r="B31" s="25">
        <v>0</v>
      </c>
      <c r="C31" s="44" t="s">
        <v>29</v>
      </c>
      <c r="D31" s="43"/>
      <c r="E31" s="25">
        <v>0</v>
      </c>
    </row>
    <row r="32" spans="1:7" ht="23.25" customHeight="1">
      <c r="A32" s="25">
        <f>A33+A35</f>
        <v>0</v>
      </c>
      <c r="B32" s="25">
        <f>B33+B35</f>
        <v>0</v>
      </c>
      <c r="C32" s="54" t="s">
        <v>872</v>
      </c>
      <c r="D32" s="43"/>
      <c r="E32" s="25">
        <f>SUM(E33)</f>
        <v>0</v>
      </c>
    </row>
    <row r="33" spans="1:5" ht="23.25" customHeight="1">
      <c r="A33" s="25">
        <f>A34</f>
        <v>0</v>
      </c>
      <c r="B33" s="25">
        <f>SUM(B34)</f>
        <v>0</v>
      </c>
      <c r="C33" s="86" t="s">
        <v>657</v>
      </c>
      <c r="D33" s="43"/>
      <c r="E33" s="25">
        <f>SUM(E34)</f>
        <v>0</v>
      </c>
    </row>
    <row r="34" spans="1:5" ht="23.25" customHeight="1">
      <c r="A34" s="25"/>
      <c r="B34" s="25">
        <v>0</v>
      </c>
      <c r="C34" s="44" t="s">
        <v>658</v>
      </c>
      <c r="D34" s="43"/>
      <c r="E34" s="25">
        <v>0</v>
      </c>
    </row>
    <row r="35" spans="1:5" ht="23.25" customHeight="1">
      <c r="A35" s="25">
        <f>A36</f>
        <v>0</v>
      </c>
      <c r="B35" s="25">
        <f>SUM(B36)</f>
        <v>0</v>
      </c>
      <c r="C35" s="86" t="s">
        <v>30</v>
      </c>
      <c r="D35" s="43"/>
      <c r="E35" s="25">
        <f>SUM(E36)</f>
        <v>0</v>
      </c>
    </row>
    <row r="36" spans="1:5" ht="23.25" customHeight="1">
      <c r="A36" s="25"/>
      <c r="B36" s="25">
        <v>0</v>
      </c>
      <c r="C36" s="44" t="s">
        <v>45</v>
      </c>
      <c r="D36" s="43"/>
      <c r="E36" s="25">
        <v>0</v>
      </c>
    </row>
    <row r="37" spans="1:5" ht="23.25" customHeight="1">
      <c r="A37" s="25">
        <f>A38</f>
        <v>0</v>
      </c>
      <c r="B37" s="25">
        <f>B38</f>
        <v>0</v>
      </c>
      <c r="C37" s="54" t="s">
        <v>659</v>
      </c>
      <c r="D37" s="43"/>
      <c r="E37" s="25">
        <f>SUM(E38)</f>
        <v>0</v>
      </c>
    </row>
    <row r="38" spans="1:5" ht="23.25" customHeight="1">
      <c r="A38" s="25">
        <f>A39</f>
        <v>0</v>
      </c>
      <c r="B38" s="25">
        <f>SUM(B39)</f>
        <v>0</v>
      </c>
      <c r="C38" s="86" t="s">
        <v>660</v>
      </c>
      <c r="D38" s="43"/>
      <c r="E38" s="25">
        <f>SUM(E39)</f>
        <v>0</v>
      </c>
    </row>
    <row r="39" spans="1:5" ht="23.25" customHeight="1">
      <c r="A39" s="25"/>
      <c r="B39" s="25">
        <v>0</v>
      </c>
      <c r="C39" s="44" t="s">
        <v>661</v>
      </c>
      <c r="D39" s="43"/>
      <c r="E39" s="25">
        <v>0</v>
      </c>
    </row>
    <row r="40" spans="1:5" ht="23.25" customHeight="1" thickBot="1">
      <c r="A40" s="483">
        <f>A41</f>
        <v>59</v>
      </c>
      <c r="B40" s="483">
        <f>B41</f>
        <v>50</v>
      </c>
      <c r="C40" s="540" t="s">
        <v>451</v>
      </c>
      <c r="D40" s="541"/>
      <c r="E40" s="483">
        <f>SUM(E41)</f>
        <v>60</v>
      </c>
    </row>
    <row r="41" spans="1:5" ht="23.25" customHeight="1">
      <c r="A41" s="25">
        <f>A42</f>
        <v>59</v>
      </c>
      <c r="B41" s="25">
        <f>SUM(B42)</f>
        <v>50</v>
      </c>
      <c r="C41" s="86" t="s">
        <v>662</v>
      </c>
      <c r="D41" s="43"/>
      <c r="E41" s="25">
        <f>SUM(E42)</f>
        <v>60</v>
      </c>
    </row>
    <row r="42" spans="1:5" ht="23.25" customHeight="1">
      <c r="A42" s="25">
        <v>59</v>
      </c>
      <c r="B42" s="25">
        <v>50</v>
      </c>
      <c r="C42" s="44" t="s">
        <v>663</v>
      </c>
      <c r="D42" s="43"/>
      <c r="E42" s="25">
        <v>60</v>
      </c>
    </row>
    <row r="43" spans="1:5" ht="23.25" customHeight="1">
      <c r="A43" s="25"/>
      <c r="B43" s="25"/>
      <c r="C43" s="43"/>
      <c r="D43" s="43"/>
      <c r="E43" s="25"/>
    </row>
    <row r="44" spans="1:5" ht="23.25" customHeight="1">
      <c r="A44" s="25"/>
      <c r="B44" s="25"/>
      <c r="C44" s="43"/>
      <c r="D44" s="43"/>
      <c r="E44" s="25"/>
    </row>
    <row r="45" spans="1:5" ht="23.25" customHeight="1">
      <c r="A45" s="25"/>
      <c r="B45" s="25"/>
      <c r="C45" s="43"/>
      <c r="D45" s="43"/>
      <c r="E45" s="25"/>
    </row>
    <row r="46" spans="1:5" ht="23.25" customHeight="1">
      <c r="A46" s="25"/>
      <c r="B46" s="25"/>
      <c r="C46" s="43"/>
      <c r="D46" s="43"/>
      <c r="E46" s="25"/>
    </row>
    <row r="47" spans="1:5" ht="23.25" customHeight="1">
      <c r="A47" s="25"/>
      <c r="B47" s="25"/>
      <c r="C47" s="43"/>
      <c r="D47" s="43"/>
      <c r="E47" s="25"/>
    </row>
    <row r="48" spans="1:5" ht="23.25" customHeight="1">
      <c r="A48" s="25"/>
      <c r="B48" s="25"/>
      <c r="C48" s="43"/>
      <c r="D48" s="43"/>
      <c r="E48" s="25"/>
    </row>
    <row r="49" spans="1:5" ht="23.25" customHeight="1">
      <c r="A49" s="25"/>
      <c r="B49" s="25"/>
      <c r="C49" s="43"/>
      <c r="D49" s="43"/>
      <c r="E49" s="25"/>
    </row>
    <row r="50" spans="1:5" ht="23.25" customHeight="1">
      <c r="A50" s="25"/>
      <c r="B50" s="25"/>
      <c r="C50" s="43"/>
      <c r="D50" s="43"/>
      <c r="E50" s="25"/>
    </row>
    <row r="51" spans="1:5" ht="23.25" customHeight="1">
      <c r="A51" s="25"/>
      <c r="B51" s="25"/>
      <c r="C51" s="43"/>
      <c r="D51" s="43"/>
      <c r="E51" s="25"/>
    </row>
    <row r="52" spans="1:5" ht="23.25" customHeight="1">
      <c r="A52" s="25"/>
      <c r="B52" s="25"/>
      <c r="C52" s="43"/>
      <c r="D52" s="43"/>
      <c r="E52" s="25"/>
    </row>
    <row r="53" spans="1:5" ht="23.25" customHeight="1">
      <c r="A53" s="25"/>
      <c r="B53" s="25"/>
      <c r="C53" s="43"/>
      <c r="D53" s="43"/>
      <c r="E53" s="25"/>
    </row>
    <row r="54" spans="1:5" ht="23.25" customHeight="1">
      <c r="A54" s="25"/>
      <c r="B54" s="25"/>
      <c r="C54" s="43"/>
      <c r="D54" s="43"/>
      <c r="E54" s="25"/>
    </row>
    <row r="55" spans="1:5" ht="23.25" customHeight="1">
      <c r="A55" s="25"/>
      <c r="B55" s="25"/>
      <c r="C55" s="43"/>
      <c r="D55" s="43"/>
      <c r="E55" s="25"/>
    </row>
    <row r="56" spans="1:5" ht="23.25" customHeight="1">
      <c r="A56" s="25"/>
      <c r="B56" s="25"/>
      <c r="C56" s="43"/>
      <c r="D56" s="43"/>
      <c r="E56" s="25"/>
    </row>
    <row r="57" spans="1:5" ht="23.25" customHeight="1">
      <c r="A57" s="25"/>
      <c r="B57" s="25"/>
      <c r="C57" s="43"/>
      <c r="D57" s="43"/>
      <c r="E57" s="25"/>
    </row>
    <row r="58" spans="1:5" ht="23.25" customHeight="1">
      <c r="A58" s="25"/>
      <c r="B58" s="25"/>
      <c r="C58" s="43"/>
      <c r="D58" s="43"/>
      <c r="E58" s="25"/>
    </row>
    <row r="59" spans="1:5" ht="23.25" customHeight="1">
      <c r="A59" s="25"/>
      <c r="B59" s="25"/>
      <c r="C59" s="43"/>
      <c r="D59" s="43"/>
      <c r="E59" s="25"/>
    </row>
    <row r="60" spans="1:5" ht="23.25" customHeight="1">
      <c r="A60" s="25"/>
      <c r="B60" s="25"/>
      <c r="C60" s="43"/>
      <c r="D60" s="43"/>
      <c r="E60" s="25"/>
    </row>
    <row r="61" spans="1:5" ht="23.25" customHeight="1">
      <c r="A61" s="25"/>
      <c r="B61" s="25"/>
      <c r="C61" s="43"/>
      <c r="D61" s="43"/>
      <c r="E61" s="25"/>
    </row>
    <row r="62" spans="1:5" ht="23.25" customHeight="1">
      <c r="A62" s="25"/>
      <c r="B62" s="25"/>
      <c r="C62" s="43"/>
      <c r="D62" s="43"/>
      <c r="E62" s="25"/>
    </row>
    <row r="63" spans="1:5" ht="23.25" customHeight="1">
      <c r="A63" s="25"/>
      <c r="B63" s="25"/>
      <c r="C63" s="43"/>
      <c r="D63" s="43"/>
      <c r="E63" s="25"/>
    </row>
    <row r="64" spans="1:5" ht="23.25" customHeight="1">
      <c r="A64" s="25"/>
      <c r="B64" s="25"/>
      <c r="C64" s="43"/>
      <c r="D64" s="43"/>
      <c r="E64" s="25"/>
    </row>
    <row r="65" spans="1:7" ht="23.25" customHeight="1">
      <c r="A65" s="25"/>
      <c r="B65" s="25"/>
      <c r="C65" s="43"/>
      <c r="D65" s="43"/>
      <c r="E65" s="25"/>
    </row>
    <row r="66" spans="1:7" ht="23.25" customHeight="1">
      <c r="A66" s="25"/>
      <c r="B66" s="25"/>
      <c r="C66" s="43"/>
      <c r="D66" s="43"/>
      <c r="E66" s="25"/>
    </row>
    <row r="67" spans="1:7" ht="23.25" customHeight="1">
      <c r="A67" s="25"/>
      <c r="B67" s="25"/>
      <c r="C67" s="43"/>
      <c r="D67" s="43"/>
      <c r="E67" s="25"/>
    </row>
    <row r="68" spans="1:7" ht="23.25" customHeight="1">
      <c r="A68" s="25"/>
      <c r="B68" s="25"/>
      <c r="C68" s="43"/>
      <c r="D68" s="43"/>
      <c r="E68" s="25"/>
    </row>
    <row r="69" spans="1:7" ht="23.25" customHeight="1" thickBot="1">
      <c r="A69" s="467">
        <f>A8</f>
        <v>59</v>
      </c>
      <c r="B69" s="467">
        <f>B8</f>
        <v>50</v>
      </c>
      <c r="C69" s="1140" t="s">
        <v>18</v>
      </c>
      <c r="D69" s="1141"/>
      <c r="E69" s="467">
        <f>E8</f>
        <v>60</v>
      </c>
      <c r="F69" s="83"/>
      <c r="G69" s="153"/>
    </row>
    <row r="70" spans="1:7">
      <c r="A70" s="84"/>
      <c r="B70" s="84"/>
      <c r="C70" s="84"/>
      <c r="D70" s="84"/>
      <c r="E70" s="33"/>
    </row>
  </sheetData>
  <mergeCells count="12">
    <mergeCell ref="A5:E5"/>
    <mergeCell ref="A1:E1"/>
    <mergeCell ref="A2:E2"/>
    <mergeCell ref="A3:E3"/>
    <mergeCell ref="A4:E4"/>
    <mergeCell ref="C69:D69"/>
    <mergeCell ref="A6:A7"/>
    <mergeCell ref="E6:E7"/>
    <mergeCell ref="C6:D7"/>
    <mergeCell ref="B6:B7"/>
    <mergeCell ref="C8:D8"/>
    <mergeCell ref="C23:D23"/>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 Unicode MS,標準"&amp;P</oddFooter>
  </headerFooter>
</worksheet>
</file>

<file path=xl/worksheets/sheet24.xml><?xml version="1.0" encoding="utf-8"?>
<worksheet xmlns="http://schemas.openxmlformats.org/spreadsheetml/2006/main" xmlns:r="http://schemas.openxmlformats.org/officeDocument/2006/relationships">
  <sheetPr codeName="Sheet23">
    <tabColor rgb="FFFFFFCC"/>
  </sheetPr>
  <dimension ref="A1:K42"/>
  <sheetViews>
    <sheetView topLeftCell="A31" workbookViewId="0">
      <selection activeCell="L47" sqref="L47"/>
    </sheetView>
  </sheetViews>
  <sheetFormatPr defaultColWidth="9" defaultRowHeight="16.2"/>
  <cols>
    <col min="1" max="1" width="16.33203125" style="1" customWidth="1"/>
    <col min="2" max="2" width="7.88671875" style="1" hidden="1" customWidth="1"/>
    <col min="3" max="3" width="8.33203125" style="1" hidden="1" customWidth="1"/>
    <col min="4" max="4" width="9.6640625" style="1" hidden="1" customWidth="1"/>
    <col min="5" max="5" width="11.77734375" style="1" customWidth="1"/>
    <col min="6" max="6" width="9.6640625" style="1" customWidth="1"/>
    <col min="7" max="8" width="10.77734375" style="1" customWidth="1"/>
    <col min="9" max="9" width="8.33203125" style="1" customWidth="1"/>
    <col min="10" max="10" width="11.21875" style="1" customWidth="1"/>
    <col min="11" max="11" width="9.21875" style="1" customWidth="1"/>
    <col min="12" max="16384" width="9" style="1"/>
  </cols>
  <sheetData>
    <row r="1" spans="1:11" ht="24.6">
      <c r="A1" s="981" t="s">
        <v>223</v>
      </c>
      <c r="B1" s="1182"/>
      <c r="C1" s="1182"/>
      <c r="D1" s="1182"/>
      <c r="E1" s="1182"/>
      <c r="F1" s="1182"/>
      <c r="G1" s="1182"/>
      <c r="H1" s="1182"/>
      <c r="I1" s="1182"/>
      <c r="J1" s="1182"/>
      <c r="K1" s="1182"/>
    </row>
    <row r="2" spans="1:11" ht="22.2">
      <c r="A2" s="1183" t="s">
        <v>76</v>
      </c>
      <c r="B2" s="1184"/>
      <c r="C2" s="1184"/>
      <c r="D2" s="1184"/>
      <c r="E2" s="1184"/>
      <c r="F2" s="1184"/>
      <c r="G2" s="1184"/>
      <c r="H2" s="1184"/>
      <c r="I2" s="1184"/>
      <c r="J2" s="1184"/>
      <c r="K2" s="1184"/>
    </row>
    <row r="3" spans="1:11" ht="22.2">
      <c r="A3" s="982" t="s">
        <v>197</v>
      </c>
      <c r="B3" s="1183"/>
      <c r="C3" s="1183"/>
      <c r="D3" s="1183"/>
      <c r="E3" s="1183"/>
      <c r="F3" s="1183"/>
      <c r="G3" s="1183"/>
      <c r="H3" s="1183"/>
      <c r="I3" s="1183"/>
      <c r="J3" s="1183"/>
      <c r="K3" s="1183"/>
    </row>
    <row r="4" spans="1:11" s="168" customFormat="1" ht="19.8">
      <c r="A4" s="1185" t="s">
        <v>1085</v>
      </c>
      <c r="B4" s="1186"/>
      <c r="C4" s="1186"/>
      <c r="D4" s="1186"/>
      <c r="E4" s="1186"/>
      <c r="F4" s="1186"/>
      <c r="G4" s="1186"/>
      <c r="H4" s="1186"/>
      <c r="I4" s="1186"/>
      <c r="J4" s="1186"/>
      <c r="K4" s="1186"/>
    </row>
    <row r="5" spans="1:11" ht="16.8" thickBot="1">
      <c r="B5" s="306" t="s">
        <v>75</v>
      </c>
      <c r="C5" s="306"/>
      <c r="D5" s="306"/>
      <c r="E5" s="1181"/>
      <c r="F5" s="1181"/>
      <c r="G5" s="1181"/>
      <c r="K5" s="11" t="s">
        <v>240</v>
      </c>
    </row>
    <row r="6" spans="1:11" s="27" customFormat="1" ht="27.6" customHeight="1">
      <c r="A6" s="1179" t="s">
        <v>191</v>
      </c>
      <c r="B6" s="1175" t="s">
        <v>1152</v>
      </c>
      <c r="C6" s="1175"/>
      <c r="D6" s="1175"/>
      <c r="E6" s="1175"/>
      <c r="F6" s="1175"/>
      <c r="G6" s="1175"/>
      <c r="H6" s="1175"/>
      <c r="I6" s="1175" t="s">
        <v>1153</v>
      </c>
      <c r="J6" s="1175" t="s">
        <v>1156</v>
      </c>
      <c r="K6" s="1176" t="s">
        <v>195</v>
      </c>
    </row>
    <row r="7" spans="1:11" s="27" customFormat="1" ht="42" customHeight="1">
      <c r="A7" s="1180"/>
      <c r="B7" s="974" t="s">
        <v>194</v>
      </c>
      <c r="C7" s="974" t="s">
        <v>692</v>
      </c>
      <c r="D7" s="974" t="s">
        <v>693</v>
      </c>
      <c r="E7" s="974" t="s">
        <v>691</v>
      </c>
      <c r="F7" s="974" t="s">
        <v>192</v>
      </c>
      <c r="G7" s="974" t="s">
        <v>193</v>
      </c>
      <c r="H7" s="974" t="s">
        <v>1151</v>
      </c>
      <c r="I7" s="1178"/>
      <c r="J7" s="1178"/>
      <c r="K7" s="1177"/>
    </row>
    <row r="8" spans="1:11" s="27" customFormat="1" ht="14.25" customHeight="1">
      <c r="A8" s="376"/>
      <c r="B8" s="377"/>
      <c r="C8" s="378"/>
      <c r="D8" s="378"/>
      <c r="E8" s="378"/>
      <c r="F8" s="377"/>
      <c r="G8" s="377"/>
      <c r="H8" s="377"/>
      <c r="I8" s="975"/>
      <c r="J8" s="975"/>
      <c r="K8" s="379"/>
    </row>
    <row r="9" spans="1:11" s="398" customFormat="1" ht="30" customHeight="1">
      <c r="A9" s="395" t="s">
        <v>1155</v>
      </c>
      <c r="B9" s="396"/>
      <c r="C9" s="396"/>
      <c r="D9" s="396"/>
      <c r="E9" s="838">
        <f>SUM(E11:E13)</f>
        <v>20877</v>
      </c>
      <c r="F9" s="838"/>
      <c r="G9" s="838">
        <f>SUM(G11:G13)</f>
        <v>2709</v>
      </c>
      <c r="H9" s="838">
        <f>SUM(H11:H13)</f>
        <v>23586</v>
      </c>
      <c r="I9" s="976"/>
      <c r="J9" s="976">
        <f>H9</f>
        <v>23586</v>
      </c>
      <c r="K9" s="397"/>
    </row>
    <row r="10" spans="1:11" s="398" customFormat="1" ht="33" customHeight="1">
      <c r="A10" s="395" t="s">
        <v>1154</v>
      </c>
      <c r="B10" s="396"/>
      <c r="C10" s="396"/>
      <c r="D10" s="396"/>
      <c r="E10" s="838"/>
      <c r="F10" s="838"/>
      <c r="G10" s="838"/>
      <c r="H10" s="838"/>
      <c r="I10" s="976"/>
      <c r="J10" s="976"/>
      <c r="K10" s="397"/>
    </row>
    <row r="11" spans="1:11" ht="33" hidden="1" customHeight="1">
      <c r="A11" s="344" t="s">
        <v>59</v>
      </c>
      <c r="B11" s="146"/>
      <c r="C11" s="146"/>
      <c r="D11" s="146"/>
      <c r="E11" s="839"/>
      <c r="F11" s="839"/>
      <c r="G11" s="840"/>
      <c r="H11" s="841">
        <f>SUM(B11:G11)</f>
        <v>0</v>
      </c>
      <c r="I11" s="977"/>
      <c r="J11" s="977"/>
      <c r="K11" s="148"/>
    </row>
    <row r="12" spans="1:11" ht="33" hidden="1" customHeight="1">
      <c r="A12" s="344"/>
      <c r="B12" s="146"/>
      <c r="C12" s="146"/>
      <c r="D12" s="146"/>
      <c r="E12" s="839"/>
      <c r="F12" s="839"/>
      <c r="G12" s="840"/>
      <c r="H12" s="841"/>
      <c r="I12" s="977"/>
      <c r="J12" s="977"/>
      <c r="K12" s="148"/>
    </row>
    <row r="13" spans="1:11" ht="33" customHeight="1">
      <c r="A13" s="344" t="s">
        <v>60</v>
      </c>
      <c r="B13" s="146"/>
      <c r="C13" s="146"/>
      <c r="D13" s="146"/>
      <c r="E13" s="839">
        <v>20877</v>
      </c>
      <c r="F13" s="839"/>
      <c r="G13" s="839">
        <v>2709</v>
      </c>
      <c r="H13" s="839">
        <f>SUM(B13:G13)</f>
        <v>23586</v>
      </c>
      <c r="I13" s="978"/>
      <c r="J13" s="978">
        <f>H13</f>
        <v>23586</v>
      </c>
      <c r="K13" s="148"/>
    </row>
    <row r="14" spans="1:11" ht="27" customHeight="1">
      <c r="A14" s="209"/>
      <c r="B14" s="136"/>
      <c r="C14" s="136"/>
      <c r="D14" s="136"/>
      <c r="E14" s="136"/>
      <c r="F14" s="136"/>
      <c r="G14" s="147"/>
      <c r="H14" s="136"/>
      <c r="I14" s="979"/>
      <c r="J14" s="979"/>
      <c r="K14" s="148"/>
    </row>
    <row r="15" spans="1:11" ht="30.75" customHeight="1">
      <c r="A15" s="209"/>
      <c r="B15" s="136"/>
      <c r="C15" s="136"/>
      <c r="D15" s="136"/>
      <c r="E15" s="136"/>
      <c r="F15" s="136"/>
      <c r="G15" s="147"/>
      <c r="H15" s="136"/>
      <c r="I15" s="979"/>
      <c r="J15" s="979"/>
      <c r="K15" s="148"/>
    </row>
    <row r="16" spans="1:11">
      <c r="A16" s="209"/>
      <c r="B16" s="136"/>
      <c r="C16" s="136"/>
      <c r="D16" s="136"/>
      <c r="E16" s="136"/>
      <c r="F16" s="136"/>
      <c r="G16" s="147"/>
      <c r="H16" s="136"/>
      <c r="I16" s="979"/>
      <c r="J16" s="979"/>
      <c r="K16" s="148"/>
    </row>
    <row r="17" spans="1:11">
      <c r="A17" s="209"/>
      <c r="B17" s="136"/>
      <c r="C17" s="136"/>
      <c r="D17" s="136"/>
      <c r="E17" s="136"/>
      <c r="F17" s="136"/>
      <c r="G17" s="147"/>
      <c r="H17" s="136"/>
      <c r="I17" s="979"/>
      <c r="J17" s="979"/>
      <c r="K17" s="148"/>
    </row>
    <row r="18" spans="1:11">
      <c r="A18" s="209"/>
      <c r="B18" s="136"/>
      <c r="C18" s="136"/>
      <c r="D18" s="136"/>
      <c r="E18" s="136"/>
      <c r="F18" s="136"/>
      <c r="G18" s="147"/>
      <c r="H18" s="136"/>
      <c r="I18" s="979"/>
      <c r="J18" s="979"/>
      <c r="K18" s="148"/>
    </row>
    <row r="19" spans="1:11">
      <c r="A19" s="209"/>
      <c r="B19" s="136"/>
      <c r="C19" s="136"/>
      <c r="D19" s="136"/>
      <c r="E19" s="136"/>
      <c r="F19" s="136"/>
      <c r="G19" s="147"/>
      <c r="H19" s="136"/>
      <c r="I19" s="979"/>
      <c r="J19" s="979"/>
      <c r="K19" s="148"/>
    </row>
    <row r="20" spans="1:11">
      <c r="A20" s="209"/>
      <c r="B20" s="136"/>
      <c r="C20" s="136"/>
      <c r="D20" s="136"/>
      <c r="E20" s="136"/>
      <c r="F20" s="136"/>
      <c r="G20" s="147"/>
      <c r="H20" s="136"/>
      <c r="I20" s="979"/>
      <c r="J20" s="979"/>
      <c r="K20" s="148"/>
    </row>
    <row r="21" spans="1:11">
      <c r="A21" s="209"/>
      <c r="B21" s="136"/>
      <c r="C21" s="136"/>
      <c r="D21" s="136"/>
      <c r="E21" s="136"/>
      <c r="F21" s="136"/>
      <c r="G21" s="147"/>
      <c r="H21" s="136"/>
      <c r="I21" s="979"/>
      <c r="J21" s="979"/>
      <c r="K21" s="148"/>
    </row>
    <row r="22" spans="1:11">
      <c r="A22" s="209"/>
      <c r="B22" s="136"/>
      <c r="C22" s="136"/>
      <c r="D22" s="136"/>
      <c r="E22" s="136"/>
      <c r="F22" s="136"/>
      <c r="G22" s="147"/>
      <c r="H22" s="136"/>
      <c r="I22" s="979"/>
      <c r="J22" s="979"/>
      <c r="K22" s="148"/>
    </row>
    <row r="23" spans="1:11">
      <c r="A23" s="209"/>
      <c r="B23" s="136"/>
      <c r="C23" s="136"/>
      <c r="D23" s="136"/>
      <c r="E23" s="136"/>
      <c r="F23" s="136"/>
      <c r="G23" s="147"/>
      <c r="H23" s="136"/>
      <c r="I23" s="979"/>
      <c r="J23" s="979"/>
      <c r="K23" s="148"/>
    </row>
    <row r="24" spans="1:11">
      <c r="A24" s="209"/>
      <c r="B24" s="136"/>
      <c r="C24" s="136"/>
      <c r="D24" s="136"/>
      <c r="E24" s="136"/>
      <c r="F24" s="136"/>
      <c r="G24" s="147"/>
      <c r="H24" s="136"/>
      <c r="I24" s="979"/>
      <c r="J24" s="979"/>
      <c r="K24" s="148"/>
    </row>
    <row r="25" spans="1:11">
      <c r="A25" s="209"/>
      <c r="B25" s="136"/>
      <c r="C25" s="136"/>
      <c r="D25" s="136"/>
      <c r="E25" s="136"/>
      <c r="F25" s="136"/>
      <c r="G25" s="147"/>
      <c r="H25" s="136"/>
      <c r="I25" s="979"/>
      <c r="J25" s="979"/>
      <c r="K25" s="148"/>
    </row>
    <row r="26" spans="1:11">
      <c r="A26" s="209"/>
      <c r="B26" s="136"/>
      <c r="C26" s="136"/>
      <c r="D26" s="136"/>
      <c r="E26" s="136"/>
      <c r="F26" s="136"/>
      <c r="G26" s="147"/>
      <c r="H26" s="136"/>
      <c r="I26" s="979"/>
      <c r="J26" s="979"/>
      <c r="K26" s="148"/>
    </row>
    <row r="27" spans="1:11">
      <c r="A27" s="209"/>
      <c r="B27" s="136"/>
      <c r="C27" s="136"/>
      <c r="D27" s="136"/>
      <c r="E27" s="136"/>
      <c r="F27" s="136"/>
      <c r="G27" s="147"/>
      <c r="H27" s="136"/>
      <c r="I27" s="979"/>
      <c r="J27" s="979"/>
      <c r="K27" s="148"/>
    </row>
    <row r="28" spans="1:11">
      <c r="A28" s="209"/>
      <c r="B28" s="136"/>
      <c r="C28" s="136"/>
      <c r="D28" s="136"/>
      <c r="E28" s="136"/>
      <c r="F28" s="136"/>
      <c r="G28" s="147"/>
      <c r="H28" s="136"/>
      <c r="I28" s="979"/>
      <c r="J28" s="979"/>
      <c r="K28" s="148"/>
    </row>
    <row r="29" spans="1:11">
      <c r="A29" s="209"/>
      <c r="B29" s="136"/>
      <c r="C29" s="136"/>
      <c r="D29" s="136"/>
      <c r="E29" s="136"/>
      <c r="F29" s="136"/>
      <c r="G29" s="147"/>
      <c r="H29" s="136"/>
      <c r="I29" s="979"/>
      <c r="J29" s="979"/>
      <c r="K29" s="148"/>
    </row>
    <row r="30" spans="1:11">
      <c r="A30" s="209"/>
      <c r="B30" s="136"/>
      <c r="C30" s="136"/>
      <c r="D30" s="136"/>
      <c r="E30" s="136"/>
      <c r="F30" s="136"/>
      <c r="G30" s="147"/>
      <c r="H30" s="136"/>
      <c r="I30" s="979"/>
      <c r="J30" s="979"/>
      <c r="K30" s="148"/>
    </row>
    <row r="31" spans="1:11">
      <c r="A31" s="209"/>
      <c r="B31" s="136"/>
      <c r="C31" s="136"/>
      <c r="D31" s="136"/>
      <c r="E31" s="136"/>
      <c r="F31" s="136"/>
      <c r="G31" s="147"/>
      <c r="H31" s="136"/>
      <c r="I31" s="979"/>
      <c r="J31" s="979"/>
      <c r="K31" s="148"/>
    </row>
    <row r="32" spans="1:11">
      <c r="A32" s="209"/>
      <c r="B32" s="136"/>
      <c r="C32" s="136"/>
      <c r="D32" s="136"/>
      <c r="E32" s="136"/>
      <c r="F32" s="136"/>
      <c r="G32" s="147"/>
      <c r="H32" s="136"/>
      <c r="I32" s="979"/>
      <c r="J32" s="979"/>
      <c r="K32" s="148"/>
    </row>
    <row r="33" spans="1:11">
      <c r="A33" s="209"/>
      <c r="B33" s="136"/>
      <c r="C33" s="136"/>
      <c r="D33" s="136"/>
      <c r="E33" s="136"/>
      <c r="F33" s="136"/>
      <c r="G33" s="147"/>
      <c r="H33" s="136"/>
      <c r="I33" s="979"/>
      <c r="J33" s="979"/>
      <c r="K33" s="148"/>
    </row>
    <row r="34" spans="1:11">
      <c r="A34" s="209"/>
      <c r="B34" s="136"/>
      <c r="C34" s="136"/>
      <c r="D34" s="136"/>
      <c r="E34" s="136"/>
      <c r="F34" s="136"/>
      <c r="G34" s="147"/>
      <c r="H34" s="136"/>
      <c r="I34" s="979"/>
      <c r="J34" s="979"/>
      <c r="K34" s="148"/>
    </row>
    <row r="35" spans="1:11">
      <c r="A35" s="209"/>
      <c r="B35" s="136"/>
      <c r="C35" s="136"/>
      <c r="D35" s="136"/>
      <c r="E35" s="136"/>
      <c r="F35" s="136"/>
      <c r="G35" s="147"/>
      <c r="H35" s="136"/>
      <c r="I35" s="979"/>
      <c r="J35" s="979"/>
      <c r="K35" s="148"/>
    </row>
    <row r="36" spans="1:11">
      <c r="A36" s="209"/>
      <c r="B36" s="136"/>
      <c r="C36" s="136"/>
      <c r="D36" s="136"/>
      <c r="E36" s="136"/>
      <c r="F36" s="136"/>
      <c r="G36" s="147"/>
      <c r="H36" s="136"/>
      <c r="I36" s="979"/>
      <c r="J36" s="979"/>
      <c r="K36" s="148"/>
    </row>
    <row r="37" spans="1:11">
      <c r="A37" s="209"/>
      <c r="B37" s="136"/>
      <c r="C37" s="136"/>
      <c r="D37" s="136"/>
      <c r="E37" s="136"/>
      <c r="F37" s="136"/>
      <c r="G37" s="147"/>
      <c r="H37" s="136"/>
      <c r="I37" s="979"/>
      <c r="J37" s="979"/>
      <c r="K37" s="148"/>
    </row>
    <row r="38" spans="1:11">
      <c r="A38" s="209"/>
      <c r="B38" s="136"/>
      <c r="C38" s="136"/>
      <c r="D38" s="136"/>
      <c r="E38" s="136"/>
      <c r="F38" s="136"/>
      <c r="G38" s="147"/>
      <c r="H38" s="136"/>
      <c r="I38" s="979"/>
      <c r="J38" s="979"/>
      <c r="K38" s="148"/>
    </row>
    <row r="39" spans="1:11">
      <c r="A39" s="209"/>
      <c r="B39" s="136"/>
      <c r="C39" s="136"/>
      <c r="D39" s="136"/>
      <c r="E39" s="136"/>
      <c r="F39" s="136"/>
      <c r="G39" s="147"/>
      <c r="H39" s="136"/>
      <c r="I39" s="979"/>
      <c r="J39" s="979"/>
      <c r="K39" s="148"/>
    </row>
    <row r="40" spans="1:11">
      <c r="A40" s="209"/>
      <c r="B40" s="136"/>
      <c r="C40" s="136"/>
      <c r="D40" s="136"/>
      <c r="E40" s="136"/>
      <c r="F40" s="136"/>
      <c r="G40" s="147"/>
      <c r="H40" s="136"/>
      <c r="I40" s="979"/>
      <c r="J40" s="979"/>
      <c r="K40" s="148"/>
    </row>
    <row r="41" spans="1:11">
      <c r="A41" s="209"/>
      <c r="B41" s="136"/>
      <c r="C41" s="136"/>
      <c r="D41" s="136"/>
      <c r="E41" s="136"/>
      <c r="F41" s="136"/>
      <c r="G41" s="147"/>
      <c r="H41" s="136"/>
      <c r="I41" s="979"/>
      <c r="J41" s="979"/>
      <c r="K41" s="148"/>
    </row>
    <row r="42" spans="1:11" s="402" customFormat="1" ht="35.4" customHeight="1" thickBot="1">
      <c r="A42" s="399" t="s">
        <v>433</v>
      </c>
      <c r="B42" s="400"/>
      <c r="C42" s="400"/>
      <c r="D42" s="400"/>
      <c r="E42" s="400">
        <f>E9</f>
        <v>20877</v>
      </c>
      <c r="F42" s="400"/>
      <c r="G42" s="400">
        <f>G9</f>
        <v>2709</v>
      </c>
      <c r="H42" s="400">
        <f>H9</f>
        <v>23586</v>
      </c>
      <c r="I42" s="980"/>
      <c r="J42" s="980">
        <f>H42</f>
        <v>23586</v>
      </c>
      <c r="K42" s="401"/>
    </row>
  </sheetData>
  <mergeCells count="10">
    <mergeCell ref="E5:G5"/>
    <mergeCell ref="A1:K1"/>
    <mergeCell ref="A2:K2"/>
    <mergeCell ref="A3:K3"/>
    <mergeCell ref="A4:K4"/>
    <mergeCell ref="B6:H6"/>
    <mergeCell ref="K6:K7"/>
    <mergeCell ref="I6:I7"/>
    <mergeCell ref="J6:J7"/>
    <mergeCell ref="A6:A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blackAndWhite="1" useFirstPageNumber="1" r:id="rId1"/>
  <headerFooter scaleWithDoc="0" alignWithMargins="0">
    <oddFooter>&amp;C&amp;"Arial Unicode MS,標準"&amp;P</oddFooter>
  </headerFooter>
</worksheet>
</file>

<file path=xl/worksheets/sheet25.xml><?xml version="1.0" encoding="utf-8"?>
<worksheet xmlns="http://schemas.openxmlformats.org/spreadsheetml/2006/main" xmlns:r="http://schemas.openxmlformats.org/officeDocument/2006/relationships">
  <sheetPr codeName="Sheet25">
    <tabColor rgb="FFFFFFCC"/>
  </sheetPr>
  <dimension ref="A1:M44"/>
  <sheetViews>
    <sheetView topLeftCell="C4" zoomScaleNormal="100" workbookViewId="0">
      <selection activeCell="A4" sqref="A4:M4"/>
    </sheetView>
  </sheetViews>
  <sheetFormatPr defaultColWidth="9" defaultRowHeight="16.2"/>
  <cols>
    <col min="1" max="1" width="15.88671875" style="1" customWidth="1"/>
    <col min="2" max="2" width="9.33203125" style="1" customWidth="1"/>
    <col min="3" max="3" width="6.33203125" style="1" customWidth="1"/>
    <col min="4" max="4" width="4.77734375" style="1" customWidth="1"/>
    <col min="5" max="5" width="3.21875" style="1" customWidth="1"/>
    <col min="6" max="6" width="11.21875" style="1" bestFit="1" customWidth="1"/>
    <col min="7" max="7" width="9.33203125" style="1" customWidth="1"/>
    <col min="8" max="9" width="4.6640625" style="1" customWidth="1"/>
    <col min="10" max="10" width="4.21875" style="1" customWidth="1"/>
    <col min="11" max="11" width="3.109375" style="1" customWidth="1"/>
    <col min="12" max="13" width="9.33203125" style="1" customWidth="1"/>
    <col min="14" max="16384" width="9" style="1"/>
  </cols>
  <sheetData>
    <row r="1" spans="1:13" ht="24.6">
      <c r="A1" s="1023" t="s">
        <v>450</v>
      </c>
      <c r="B1" s="1187"/>
      <c r="C1" s="1187"/>
      <c r="D1" s="1187"/>
      <c r="E1" s="1187"/>
      <c r="F1" s="1187"/>
      <c r="G1" s="1187"/>
      <c r="H1" s="1187"/>
      <c r="I1" s="1187"/>
      <c r="J1" s="1187"/>
      <c r="K1" s="1187"/>
      <c r="L1" s="1187"/>
      <c r="M1" s="1187"/>
    </row>
    <row r="2" spans="1:13" ht="22.2">
      <c r="A2" s="1034" t="s">
        <v>76</v>
      </c>
      <c r="B2" s="1188"/>
      <c r="C2" s="1188"/>
      <c r="D2" s="1188"/>
      <c r="E2" s="1188"/>
      <c r="F2" s="1188"/>
      <c r="G2" s="1188"/>
      <c r="H2" s="1188"/>
      <c r="I2" s="1188"/>
      <c r="J2" s="1188"/>
      <c r="K2" s="1188"/>
      <c r="L2" s="1188"/>
      <c r="M2" s="1188"/>
    </row>
    <row r="3" spans="1:13" ht="20.25" customHeight="1">
      <c r="A3" s="1189" t="s">
        <v>203</v>
      </c>
      <c r="B3" s="1190"/>
      <c r="C3" s="1190"/>
      <c r="D3" s="1190"/>
      <c r="E3" s="1190"/>
      <c r="F3" s="1190"/>
      <c r="G3" s="1190"/>
      <c r="H3" s="1190"/>
      <c r="I3" s="1190"/>
      <c r="J3" s="1190"/>
      <c r="K3" s="1190"/>
      <c r="L3" s="1190"/>
      <c r="M3" s="1190"/>
    </row>
    <row r="4" spans="1:13" s="168" customFormat="1" ht="20.25" customHeight="1">
      <c r="A4" s="1193" t="s">
        <v>1104</v>
      </c>
      <c r="B4" s="1193"/>
      <c r="C4" s="1193"/>
      <c r="D4" s="1193"/>
      <c r="E4" s="1193"/>
      <c r="F4" s="1193"/>
      <c r="G4" s="1193"/>
      <c r="H4" s="1193"/>
      <c r="I4" s="1193"/>
      <c r="J4" s="1193"/>
      <c r="K4" s="1193"/>
      <c r="L4" s="1193"/>
      <c r="M4" s="1193"/>
    </row>
    <row r="5" spans="1:13" ht="16.8" thickBot="1">
      <c r="B5" s="1191" t="s">
        <v>240</v>
      </c>
      <c r="C5" s="1192"/>
      <c r="D5" s="1192"/>
      <c r="E5" s="1192"/>
      <c r="F5" s="1192"/>
      <c r="G5" s="1192"/>
      <c r="H5" s="1192"/>
      <c r="I5" s="1192"/>
      <c r="J5" s="1192"/>
      <c r="K5" s="1192"/>
      <c r="L5" s="1192"/>
      <c r="M5" s="1192"/>
    </row>
    <row r="6" spans="1:13" ht="19.5" customHeight="1">
      <c r="A6" s="1200" t="s">
        <v>204</v>
      </c>
      <c r="B6" s="1198" t="s">
        <v>205</v>
      </c>
      <c r="C6" s="1203"/>
      <c r="D6" s="1203"/>
      <c r="E6" s="1203"/>
      <c r="F6" s="1203"/>
      <c r="G6" s="1204"/>
      <c r="H6" s="1198" t="s">
        <v>421</v>
      </c>
      <c r="I6" s="1203"/>
      <c r="J6" s="1203"/>
      <c r="K6" s="1204"/>
      <c r="L6" s="1198" t="s">
        <v>206</v>
      </c>
      <c r="M6" s="1199"/>
    </row>
    <row r="7" spans="1:13" ht="19.5" customHeight="1">
      <c r="A7" s="1201"/>
      <c r="B7" s="1205" t="s">
        <v>209</v>
      </c>
      <c r="C7" s="1213" t="s">
        <v>212</v>
      </c>
      <c r="D7" s="1205" t="s">
        <v>701</v>
      </c>
      <c r="E7" s="1205" t="s">
        <v>211</v>
      </c>
      <c r="F7" s="1194" t="s">
        <v>207</v>
      </c>
      <c r="G7" s="1195"/>
      <c r="H7" s="1211" t="s">
        <v>380</v>
      </c>
      <c r="I7" s="1211" t="s">
        <v>381</v>
      </c>
      <c r="J7" s="1196" t="s">
        <v>383</v>
      </c>
      <c r="K7" s="1197"/>
      <c r="L7" s="1207" t="s">
        <v>210</v>
      </c>
      <c r="M7" s="1209" t="s">
        <v>208</v>
      </c>
    </row>
    <row r="8" spans="1:13" ht="34.5" customHeight="1">
      <c r="A8" s="1202"/>
      <c r="B8" s="1206"/>
      <c r="C8" s="1214"/>
      <c r="D8" s="1206"/>
      <c r="E8" s="1215"/>
      <c r="F8" s="129" t="s">
        <v>210</v>
      </c>
      <c r="G8" s="129" t="s">
        <v>208</v>
      </c>
      <c r="H8" s="1212"/>
      <c r="I8" s="1212"/>
      <c r="J8" s="316" t="s">
        <v>382</v>
      </c>
      <c r="K8" s="316" t="s">
        <v>208</v>
      </c>
      <c r="L8" s="1208"/>
      <c r="M8" s="1210"/>
    </row>
    <row r="9" spans="1:13" ht="15" customHeight="1">
      <c r="A9" s="345"/>
      <c r="B9" s="381"/>
      <c r="C9" s="382"/>
      <c r="D9" s="381"/>
      <c r="E9" s="383"/>
      <c r="F9" s="384"/>
      <c r="G9" s="384"/>
      <c r="H9" s="385"/>
      <c r="I9" s="385"/>
      <c r="J9" s="386"/>
      <c r="K9" s="386"/>
      <c r="L9" s="384"/>
      <c r="M9" s="346"/>
    </row>
    <row r="10" spans="1:13" s="398" customFormat="1" ht="28.5" customHeight="1">
      <c r="A10" s="403" t="s">
        <v>808</v>
      </c>
      <c r="B10" s="404">
        <f>B12+B13</f>
        <v>23586</v>
      </c>
      <c r="C10" s="405"/>
      <c r="D10" s="405"/>
      <c r="E10" s="405"/>
      <c r="F10" s="406">
        <f>F12+F13</f>
        <v>23586</v>
      </c>
      <c r="G10" s="407">
        <f>B10/F10*100</f>
        <v>100</v>
      </c>
      <c r="H10" s="408"/>
      <c r="I10" s="408"/>
      <c r="J10" s="408"/>
      <c r="K10" s="408"/>
      <c r="L10" s="406">
        <f>F10</f>
        <v>23586</v>
      </c>
      <c r="M10" s="415">
        <f>B10/F10*100</f>
        <v>100</v>
      </c>
    </row>
    <row r="11" spans="1:13" s="398" customFormat="1" ht="33" customHeight="1">
      <c r="A11" s="403" t="s">
        <v>809</v>
      </c>
      <c r="B11" s="404"/>
      <c r="C11" s="405"/>
      <c r="D11" s="405"/>
      <c r="E11" s="405"/>
      <c r="F11" s="406"/>
      <c r="G11" s="407"/>
      <c r="H11" s="408"/>
      <c r="I11" s="408"/>
      <c r="J11" s="408"/>
      <c r="K11" s="408"/>
      <c r="L11" s="406"/>
      <c r="M11" s="415"/>
    </row>
    <row r="12" spans="1:13" ht="33" hidden="1" customHeight="1">
      <c r="A12" s="132" t="s">
        <v>218</v>
      </c>
      <c r="B12" s="308">
        <f>'30.固定資產建改擴明細表'!H11</f>
        <v>0</v>
      </c>
      <c r="C12" s="309"/>
      <c r="D12" s="309"/>
      <c r="E12" s="309"/>
      <c r="F12" s="309">
        <f>SUM(B12:E12)</f>
        <v>0</v>
      </c>
      <c r="G12" s="311" t="e">
        <f>B12/F12*100</f>
        <v>#DIV/0!</v>
      </c>
      <c r="H12" s="307"/>
      <c r="I12" s="307"/>
      <c r="J12" s="307"/>
      <c r="K12" s="307"/>
      <c r="L12" s="309">
        <f>F12</f>
        <v>0</v>
      </c>
      <c r="M12" s="313" t="e">
        <f>B12/F12*100</f>
        <v>#DIV/0!</v>
      </c>
    </row>
    <row r="13" spans="1:13" ht="33" customHeight="1">
      <c r="A13" s="132" t="s">
        <v>128</v>
      </c>
      <c r="B13" s="308">
        <f>'30.固定資產建改擴明細表'!H13</f>
        <v>23586</v>
      </c>
      <c r="C13" s="309"/>
      <c r="D13" s="309"/>
      <c r="E13" s="309"/>
      <c r="F13" s="309">
        <f>SUM(B13:E13)</f>
        <v>23586</v>
      </c>
      <c r="G13" s="311">
        <f>B13/F13*100</f>
        <v>100</v>
      </c>
      <c r="H13" s="307"/>
      <c r="I13" s="307"/>
      <c r="J13" s="307"/>
      <c r="K13" s="307"/>
      <c r="L13" s="309">
        <f>F13</f>
        <v>23586</v>
      </c>
      <c r="M13" s="313">
        <f>B13/F13*100</f>
        <v>100</v>
      </c>
    </row>
    <row r="14" spans="1:13" ht="21.75" customHeight="1">
      <c r="A14" s="132"/>
      <c r="B14" s="310"/>
      <c r="C14" s="310"/>
      <c r="D14" s="310"/>
      <c r="E14" s="310"/>
      <c r="F14" s="310"/>
      <c r="G14" s="312"/>
      <c r="H14" s="307"/>
      <c r="I14" s="307"/>
      <c r="J14" s="307"/>
      <c r="K14" s="307"/>
      <c r="L14" s="310"/>
      <c r="M14" s="314"/>
    </row>
    <row r="15" spans="1:13">
      <c r="A15" s="132"/>
      <c r="B15" s="310"/>
      <c r="C15" s="310"/>
      <c r="D15" s="310"/>
      <c r="E15" s="310"/>
      <c r="F15" s="310"/>
      <c r="G15" s="312"/>
      <c r="H15" s="307"/>
      <c r="I15" s="307"/>
      <c r="J15" s="307"/>
      <c r="K15" s="307"/>
      <c r="L15" s="310"/>
      <c r="M15" s="314"/>
    </row>
    <row r="16" spans="1:13">
      <c r="A16" s="132"/>
      <c r="B16" s="310"/>
      <c r="C16" s="310"/>
      <c r="D16" s="310"/>
      <c r="E16" s="310"/>
      <c r="F16" s="310"/>
      <c r="G16" s="312"/>
      <c r="H16" s="307"/>
      <c r="I16" s="307"/>
      <c r="J16" s="307"/>
      <c r="K16" s="307"/>
      <c r="L16" s="310"/>
      <c r="M16" s="315"/>
    </row>
    <row r="17" spans="1:13">
      <c r="A17" s="132"/>
      <c r="B17" s="310"/>
      <c r="C17" s="310"/>
      <c r="D17" s="310"/>
      <c r="E17" s="310"/>
      <c r="F17" s="310"/>
      <c r="G17" s="312"/>
      <c r="H17" s="307"/>
      <c r="I17" s="307"/>
      <c r="J17" s="307"/>
      <c r="K17" s="307"/>
      <c r="L17" s="310"/>
      <c r="M17" s="315"/>
    </row>
    <row r="18" spans="1:13">
      <c r="A18" s="132"/>
      <c r="B18" s="310"/>
      <c r="C18" s="310"/>
      <c r="D18" s="310"/>
      <c r="E18" s="310"/>
      <c r="F18" s="310"/>
      <c r="G18" s="312"/>
      <c r="H18" s="307"/>
      <c r="I18" s="307"/>
      <c r="J18" s="307"/>
      <c r="K18" s="307"/>
      <c r="L18" s="310"/>
      <c r="M18" s="315"/>
    </row>
    <row r="19" spans="1:13">
      <c r="A19" s="132"/>
      <c r="B19" s="310"/>
      <c r="C19" s="310"/>
      <c r="D19" s="310"/>
      <c r="E19" s="310"/>
      <c r="F19" s="310"/>
      <c r="G19" s="312"/>
      <c r="H19" s="307"/>
      <c r="I19" s="307"/>
      <c r="J19" s="307"/>
      <c r="K19" s="307"/>
      <c r="L19" s="310"/>
      <c r="M19" s="315"/>
    </row>
    <row r="20" spans="1:13">
      <c r="A20" s="132"/>
      <c r="B20" s="310"/>
      <c r="C20" s="310"/>
      <c r="D20" s="310"/>
      <c r="E20" s="310"/>
      <c r="F20" s="310"/>
      <c r="G20" s="312"/>
      <c r="H20" s="307"/>
      <c r="I20" s="307"/>
      <c r="J20" s="307"/>
      <c r="K20" s="307"/>
      <c r="L20" s="310"/>
      <c r="M20" s="315"/>
    </row>
    <row r="21" spans="1:13">
      <c r="A21" s="132"/>
      <c r="B21" s="310"/>
      <c r="C21" s="310"/>
      <c r="D21" s="310"/>
      <c r="E21" s="310"/>
      <c r="F21" s="310"/>
      <c r="G21" s="312"/>
      <c r="H21" s="307"/>
      <c r="I21" s="307"/>
      <c r="J21" s="307"/>
      <c r="K21" s="307"/>
      <c r="L21" s="310"/>
      <c r="M21" s="315"/>
    </row>
    <row r="22" spans="1:13">
      <c r="A22" s="132"/>
      <c r="B22" s="310"/>
      <c r="C22" s="310"/>
      <c r="D22" s="310"/>
      <c r="E22" s="310"/>
      <c r="F22" s="310"/>
      <c r="G22" s="312"/>
      <c r="H22" s="307"/>
      <c r="I22" s="307"/>
      <c r="J22" s="307"/>
      <c r="K22" s="307"/>
      <c r="L22" s="310"/>
      <c r="M22" s="315"/>
    </row>
    <row r="23" spans="1:13">
      <c r="A23" s="132"/>
      <c r="B23" s="310"/>
      <c r="C23" s="310"/>
      <c r="D23" s="310"/>
      <c r="E23" s="310"/>
      <c r="F23" s="310"/>
      <c r="G23" s="312"/>
      <c r="H23" s="307"/>
      <c r="I23" s="307"/>
      <c r="J23" s="307"/>
      <c r="K23" s="307"/>
      <c r="L23" s="310"/>
      <c r="M23" s="315"/>
    </row>
    <row r="24" spans="1:13">
      <c r="A24" s="132"/>
      <c r="B24" s="310"/>
      <c r="C24" s="310"/>
      <c r="D24" s="310"/>
      <c r="E24" s="310"/>
      <c r="F24" s="310"/>
      <c r="G24" s="312"/>
      <c r="H24" s="307"/>
      <c r="I24" s="307"/>
      <c r="J24" s="307"/>
      <c r="K24" s="307"/>
      <c r="L24" s="310"/>
      <c r="M24" s="315"/>
    </row>
    <row r="25" spans="1:13">
      <c r="A25" s="132"/>
      <c r="B25" s="310"/>
      <c r="C25" s="310"/>
      <c r="D25" s="310"/>
      <c r="E25" s="310"/>
      <c r="F25" s="310"/>
      <c r="G25" s="312"/>
      <c r="H25" s="307"/>
      <c r="I25" s="307"/>
      <c r="J25" s="307"/>
      <c r="K25" s="307"/>
      <c r="L25" s="310"/>
      <c r="M25" s="315"/>
    </row>
    <row r="26" spans="1:13">
      <c r="A26" s="132"/>
      <c r="B26" s="310"/>
      <c r="C26" s="310"/>
      <c r="D26" s="310"/>
      <c r="E26" s="310"/>
      <c r="F26" s="310"/>
      <c r="G26" s="312"/>
      <c r="H26" s="307"/>
      <c r="I26" s="307"/>
      <c r="J26" s="307"/>
      <c r="K26" s="307"/>
      <c r="L26" s="310"/>
      <c r="M26" s="315"/>
    </row>
    <row r="27" spans="1:13">
      <c r="A27" s="132"/>
      <c r="B27" s="310"/>
      <c r="C27" s="310"/>
      <c r="D27" s="310"/>
      <c r="E27" s="310"/>
      <c r="F27" s="310"/>
      <c r="G27" s="312"/>
      <c r="H27" s="307"/>
      <c r="I27" s="307"/>
      <c r="J27" s="307"/>
      <c r="K27" s="307"/>
      <c r="L27" s="310"/>
      <c r="M27" s="315"/>
    </row>
    <row r="28" spans="1:13">
      <c r="A28" s="132"/>
      <c r="B28" s="310"/>
      <c r="C28" s="310"/>
      <c r="D28" s="310"/>
      <c r="E28" s="310"/>
      <c r="F28" s="310"/>
      <c r="G28" s="312"/>
      <c r="H28" s="307"/>
      <c r="I28" s="307"/>
      <c r="J28" s="307"/>
      <c r="K28" s="307"/>
      <c r="L28" s="310"/>
      <c r="M28" s="315"/>
    </row>
    <row r="29" spans="1:13">
      <c r="A29" s="132"/>
      <c r="B29" s="310"/>
      <c r="C29" s="310"/>
      <c r="D29" s="310"/>
      <c r="E29" s="310"/>
      <c r="F29" s="310"/>
      <c r="G29" s="312"/>
      <c r="H29" s="307"/>
      <c r="I29" s="307"/>
      <c r="J29" s="307"/>
      <c r="K29" s="307"/>
      <c r="L29" s="310"/>
      <c r="M29" s="315"/>
    </row>
    <row r="30" spans="1:13">
      <c r="A30" s="132"/>
      <c r="B30" s="310"/>
      <c r="C30" s="310"/>
      <c r="D30" s="310"/>
      <c r="E30" s="310"/>
      <c r="F30" s="310"/>
      <c r="G30" s="312"/>
      <c r="H30" s="307"/>
      <c r="I30" s="307"/>
      <c r="J30" s="307"/>
      <c r="K30" s="307"/>
      <c r="L30" s="310"/>
      <c r="M30" s="315"/>
    </row>
    <row r="31" spans="1:13">
      <c r="A31" s="132"/>
      <c r="B31" s="310"/>
      <c r="C31" s="310"/>
      <c r="D31" s="310"/>
      <c r="E31" s="310"/>
      <c r="F31" s="310"/>
      <c r="G31" s="312"/>
      <c r="H31" s="307"/>
      <c r="I31" s="307"/>
      <c r="J31" s="307"/>
      <c r="K31" s="307"/>
      <c r="L31" s="310"/>
      <c r="M31" s="315"/>
    </row>
    <row r="32" spans="1:13">
      <c r="A32" s="132"/>
      <c r="B32" s="310"/>
      <c r="C32" s="310"/>
      <c r="D32" s="310"/>
      <c r="E32" s="310"/>
      <c r="F32" s="310"/>
      <c r="G32" s="312"/>
      <c r="H32" s="307"/>
      <c r="I32" s="307"/>
      <c r="J32" s="307"/>
      <c r="K32" s="307"/>
      <c r="L32" s="310"/>
      <c r="M32" s="315"/>
    </row>
    <row r="33" spans="1:13">
      <c r="A33" s="132"/>
      <c r="B33" s="310"/>
      <c r="C33" s="310"/>
      <c r="D33" s="310"/>
      <c r="E33" s="310"/>
      <c r="F33" s="310"/>
      <c r="G33" s="312"/>
      <c r="H33" s="307"/>
      <c r="I33" s="307"/>
      <c r="J33" s="307"/>
      <c r="K33" s="307"/>
      <c r="L33" s="310"/>
      <c r="M33" s="315"/>
    </row>
    <row r="34" spans="1:13">
      <c r="A34" s="132"/>
      <c r="B34" s="310"/>
      <c r="C34" s="310"/>
      <c r="D34" s="310"/>
      <c r="E34" s="310"/>
      <c r="F34" s="310"/>
      <c r="G34" s="312"/>
      <c r="H34" s="307"/>
      <c r="I34" s="307"/>
      <c r="J34" s="307"/>
      <c r="K34" s="307"/>
      <c r="L34" s="310"/>
      <c r="M34" s="315"/>
    </row>
    <row r="35" spans="1:13">
      <c r="A35" s="132"/>
      <c r="B35" s="310"/>
      <c r="C35" s="310"/>
      <c r="D35" s="310"/>
      <c r="E35" s="310"/>
      <c r="F35" s="310"/>
      <c r="G35" s="312"/>
      <c r="H35" s="307"/>
      <c r="I35" s="307"/>
      <c r="J35" s="307"/>
      <c r="K35" s="307"/>
      <c r="L35" s="310"/>
      <c r="M35" s="315"/>
    </row>
    <row r="36" spans="1:13">
      <c r="A36" s="132"/>
      <c r="B36" s="310"/>
      <c r="C36" s="310"/>
      <c r="D36" s="310"/>
      <c r="E36" s="310"/>
      <c r="F36" s="310"/>
      <c r="G36" s="312"/>
      <c r="H36" s="307"/>
      <c r="I36" s="307"/>
      <c r="J36" s="307"/>
      <c r="K36" s="307"/>
      <c r="L36" s="310"/>
      <c r="M36" s="315"/>
    </row>
    <row r="37" spans="1:13">
      <c r="A37" s="132"/>
      <c r="B37" s="310"/>
      <c r="C37" s="310"/>
      <c r="D37" s="310"/>
      <c r="E37" s="310"/>
      <c r="F37" s="310"/>
      <c r="G37" s="312"/>
      <c r="H37" s="307"/>
      <c r="I37" s="307"/>
      <c r="J37" s="307"/>
      <c r="K37" s="307"/>
      <c r="L37" s="310"/>
      <c r="M37" s="315"/>
    </row>
    <row r="38" spans="1:13">
      <c r="A38" s="132"/>
      <c r="B38" s="310"/>
      <c r="C38" s="310"/>
      <c r="D38" s="310"/>
      <c r="E38" s="310"/>
      <c r="F38" s="310"/>
      <c r="G38" s="312"/>
      <c r="H38" s="307"/>
      <c r="I38" s="307"/>
      <c r="J38" s="307"/>
      <c r="K38" s="307"/>
      <c r="L38" s="310"/>
      <c r="M38" s="315"/>
    </row>
    <row r="39" spans="1:13">
      <c r="A39" s="132"/>
      <c r="B39" s="310"/>
      <c r="C39" s="310"/>
      <c r="D39" s="310"/>
      <c r="E39" s="310"/>
      <c r="F39" s="310"/>
      <c r="G39" s="312"/>
      <c r="H39" s="307"/>
      <c r="I39" s="307"/>
      <c r="J39" s="307"/>
      <c r="K39" s="307"/>
      <c r="L39" s="310"/>
      <c r="M39" s="315"/>
    </row>
    <row r="40" spans="1:13">
      <c r="A40" s="132"/>
      <c r="B40" s="310"/>
      <c r="C40" s="310"/>
      <c r="D40" s="310"/>
      <c r="E40" s="310"/>
      <c r="F40" s="310"/>
      <c r="G40" s="312"/>
      <c r="H40" s="307"/>
      <c r="I40" s="307"/>
      <c r="J40" s="307"/>
      <c r="K40" s="307"/>
      <c r="L40" s="310"/>
      <c r="M40" s="315"/>
    </row>
    <row r="41" spans="1:13">
      <c r="A41" s="132"/>
      <c r="B41" s="310"/>
      <c r="C41" s="310"/>
      <c r="D41" s="310"/>
      <c r="E41" s="310"/>
      <c r="F41" s="310"/>
      <c r="G41" s="312"/>
      <c r="H41" s="307"/>
      <c r="I41" s="307"/>
      <c r="J41" s="307"/>
      <c r="K41" s="307"/>
      <c r="L41" s="310"/>
      <c r="M41" s="315"/>
    </row>
    <row r="42" spans="1:13">
      <c r="A42" s="132"/>
      <c r="B42" s="310"/>
      <c r="C42" s="310"/>
      <c r="D42" s="310"/>
      <c r="E42" s="310"/>
      <c r="F42" s="310"/>
      <c r="G42" s="312"/>
      <c r="H42" s="307"/>
      <c r="I42" s="307"/>
      <c r="J42" s="307"/>
      <c r="K42" s="307"/>
      <c r="L42" s="310"/>
      <c r="M42" s="315"/>
    </row>
    <row r="43" spans="1:13" ht="28.5" customHeight="1">
      <c r="A43" s="132"/>
      <c r="B43" s="310"/>
      <c r="C43" s="310"/>
      <c r="D43" s="310"/>
      <c r="E43" s="310"/>
      <c r="F43" s="310"/>
      <c r="G43" s="312"/>
      <c r="H43" s="307"/>
      <c r="I43" s="307"/>
      <c r="J43" s="307"/>
      <c r="K43" s="307"/>
      <c r="L43" s="310"/>
      <c r="M43" s="315"/>
    </row>
    <row r="44" spans="1:13" s="402" customFormat="1" ht="40.799999999999997" customHeight="1" thickBot="1">
      <c r="A44" s="409" t="s">
        <v>196</v>
      </c>
      <c r="B44" s="410">
        <f>B10</f>
        <v>23586</v>
      </c>
      <c r="C44" s="411"/>
      <c r="D44" s="411"/>
      <c r="E44" s="411"/>
      <c r="F44" s="411">
        <f>F10</f>
        <v>23586</v>
      </c>
      <c r="G44" s="412">
        <f>G10</f>
        <v>100</v>
      </c>
      <c r="H44" s="413"/>
      <c r="I44" s="413"/>
      <c r="J44" s="413"/>
      <c r="K44" s="413"/>
      <c r="L44" s="411">
        <f>L10</f>
        <v>23586</v>
      </c>
      <c r="M44" s="414">
        <f>M10</f>
        <v>100</v>
      </c>
    </row>
  </sheetData>
  <mergeCells count="19">
    <mergeCell ref="F7:G7"/>
    <mergeCell ref="J7:K7"/>
    <mergeCell ref="L6:M6"/>
    <mergeCell ref="A6:A8"/>
    <mergeCell ref="B6:G6"/>
    <mergeCell ref="H6:K6"/>
    <mergeCell ref="B7:B8"/>
    <mergeCell ref="L7:L8"/>
    <mergeCell ref="M7:M8"/>
    <mergeCell ref="D7:D8"/>
    <mergeCell ref="H7:H8"/>
    <mergeCell ref="I7:I8"/>
    <mergeCell ref="C7:C8"/>
    <mergeCell ref="E7:E8"/>
    <mergeCell ref="A1:M1"/>
    <mergeCell ref="A2:M2"/>
    <mergeCell ref="A3:M3"/>
    <mergeCell ref="B5:M5"/>
    <mergeCell ref="A4:M4"/>
  </mergeCells>
  <phoneticPr fontId="14" type="noConversion"/>
  <printOptions horizontalCentered="1"/>
  <pageMargins left="0.6692913385826772" right="0.6692913385826772" top="0.59055118110236227" bottom="0.78740157480314965" header="0.51181102362204722" footer="0.51181102362204722"/>
  <pageSetup paperSize="9" scale="92" firstPageNumber="31" orientation="portrait" useFirstPageNumber="1" r:id="rId1"/>
  <headerFooter scaleWithDoc="0" alignWithMargins="0">
    <oddFooter>&amp;C&amp;"Arial Unicode MS,標準"&amp;P</oddFooter>
  </headerFooter>
</worksheet>
</file>

<file path=xl/worksheets/sheet26.xml><?xml version="1.0" encoding="utf-8"?>
<worksheet xmlns="http://schemas.openxmlformats.org/spreadsheetml/2006/main" xmlns:r="http://schemas.openxmlformats.org/officeDocument/2006/relationships">
  <sheetPr codeName="Sheet28">
    <tabColor rgb="FFFFFFCC"/>
  </sheetPr>
  <dimension ref="A1:X29"/>
  <sheetViews>
    <sheetView view="pageBreakPreview" topLeftCell="A4" zoomScaleNormal="100" workbookViewId="0">
      <selection activeCell="J7" sqref="J7:J9"/>
    </sheetView>
  </sheetViews>
  <sheetFormatPr defaultRowHeight="16.2"/>
  <cols>
    <col min="1" max="1" width="20.44140625" customWidth="1"/>
    <col min="2" max="3" width="10.6640625" customWidth="1"/>
    <col min="4" max="4" width="10" customWidth="1"/>
    <col min="5" max="5" width="11.77734375" customWidth="1"/>
    <col min="6" max="6" width="7.88671875" customWidth="1"/>
    <col min="8" max="8" width="11.88671875" customWidth="1"/>
    <col min="9" max="9" width="0.33203125" customWidth="1"/>
    <col min="10" max="10" width="16.44140625" customWidth="1"/>
    <col min="11" max="11" width="10.88671875" customWidth="1"/>
    <col min="12" max="12" width="10.21875" customWidth="1"/>
    <col min="13" max="13" width="9.33203125" customWidth="1"/>
    <col min="14" max="17" width="11.33203125" customWidth="1"/>
  </cols>
  <sheetData>
    <row r="1" spans="1:24" s="149" customFormat="1" ht="24.6">
      <c r="A1" s="1220" t="s">
        <v>389</v>
      </c>
      <c r="B1" s="1221"/>
      <c r="C1" s="1221"/>
      <c r="D1" s="1221"/>
      <c r="E1" s="1221"/>
      <c r="F1" s="1221"/>
      <c r="G1" s="1221"/>
      <c r="H1" s="1221"/>
      <c r="I1" s="305"/>
      <c r="J1" s="1222" t="s">
        <v>390</v>
      </c>
      <c r="K1" s="1223"/>
      <c r="L1" s="1223"/>
      <c r="M1" s="1223"/>
      <c r="N1" s="1223"/>
      <c r="O1" s="1223"/>
      <c r="P1" s="1223"/>
      <c r="Q1" s="1223"/>
    </row>
    <row r="2" spans="1:24" s="167" customFormat="1" ht="22.2">
      <c r="A2" s="1232" t="s">
        <v>388</v>
      </c>
      <c r="B2" s="1233"/>
      <c r="C2" s="1233"/>
      <c r="D2" s="1233"/>
      <c r="E2" s="1233"/>
      <c r="F2" s="1233"/>
      <c r="G2" s="1233"/>
      <c r="H2" s="1233"/>
      <c r="I2" s="304"/>
      <c r="J2" s="1224" t="s">
        <v>391</v>
      </c>
      <c r="K2" s="1225"/>
      <c r="L2" s="1225"/>
      <c r="M2" s="1225"/>
      <c r="N2" s="1225"/>
      <c r="O2" s="1225"/>
      <c r="P2" s="1225"/>
      <c r="Q2" s="1225"/>
    </row>
    <row r="3" spans="1:24" s="167" customFormat="1" ht="22.2">
      <c r="A3" s="1236" t="s">
        <v>387</v>
      </c>
      <c r="B3" s="1237"/>
      <c r="C3" s="1237"/>
      <c r="D3" s="1237"/>
      <c r="E3" s="1237"/>
      <c r="F3" s="1237"/>
      <c r="G3" s="1237"/>
      <c r="H3" s="1237"/>
      <c r="I3" s="304"/>
      <c r="J3" s="1238" t="s">
        <v>392</v>
      </c>
      <c r="K3" s="1239"/>
      <c r="L3" s="1239"/>
      <c r="M3" s="1239"/>
      <c r="N3" s="1239"/>
      <c r="O3" s="1239"/>
      <c r="P3" s="1239"/>
      <c r="Q3" s="1239"/>
    </row>
    <row r="4" spans="1:24" s="168" customFormat="1" ht="19.8">
      <c r="A4" s="1241" t="s">
        <v>386</v>
      </c>
      <c r="B4" s="1241"/>
      <c r="C4" s="1241"/>
      <c r="D4" s="1241"/>
      <c r="E4" s="1241"/>
      <c r="F4" s="1241"/>
      <c r="G4" s="1241"/>
      <c r="H4" s="1241"/>
      <c r="I4" s="302"/>
      <c r="J4" s="1240" t="s">
        <v>1102</v>
      </c>
      <c r="K4" s="1240"/>
      <c r="L4" s="1240"/>
      <c r="M4" s="1240"/>
      <c r="N4" s="1240"/>
      <c r="O4" s="1240"/>
      <c r="P4" s="1240"/>
      <c r="Q4" s="1240"/>
    </row>
    <row r="5" spans="1:24" s="1" customFormat="1" ht="16.8" thickBot="1">
      <c r="B5" s="41"/>
      <c r="C5" s="41"/>
      <c r="H5" s="1181"/>
      <c r="I5" s="1181"/>
      <c r="J5" s="1181"/>
      <c r="O5" s="1226" t="s">
        <v>167</v>
      </c>
      <c r="P5" s="1226"/>
      <c r="Q5" s="1226"/>
    </row>
    <row r="6" spans="1:24">
      <c r="A6" s="1200" t="s">
        <v>241</v>
      </c>
      <c r="B6" s="1198" t="s">
        <v>242</v>
      </c>
      <c r="C6" s="1203"/>
      <c r="D6" s="1203"/>
      <c r="E6" s="1203"/>
      <c r="F6" s="1203"/>
      <c r="G6" s="1203"/>
      <c r="H6" s="1203"/>
      <c r="I6" s="1203"/>
      <c r="J6" s="1203"/>
      <c r="K6" s="1203"/>
      <c r="L6" s="1203"/>
      <c r="M6" s="1204"/>
      <c r="N6" s="1198" t="s">
        <v>243</v>
      </c>
      <c r="O6" s="1203"/>
      <c r="P6" s="1203"/>
      <c r="Q6" s="1199"/>
    </row>
    <row r="7" spans="1:24" ht="16.2" customHeight="1">
      <c r="A7" s="1201"/>
      <c r="B7" s="1207" t="s">
        <v>1158</v>
      </c>
      <c r="C7" s="1234" t="s">
        <v>1157</v>
      </c>
      <c r="D7" s="1234"/>
      <c r="E7" s="1234"/>
      <c r="F7" s="1234"/>
      <c r="G7" s="1235"/>
      <c r="H7" s="1207" t="s">
        <v>213</v>
      </c>
      <c r="I7" s="140"/>
      <c r="J7" s="1207" t="s">
        <v>244</v>
      </c>
      <c r="K7" s="1207" t="s">
        <v>245</v>
      </c>
      <c r="L7" s="1207" t="s">
        <v>246</v>
      </c>
      <c r="M7" s="1207" t="s">
        <v>247</v>
      </c>
      <c r="N7" s="1230" t="s">
        <v>202</v>
      </c>
      <c r="O7" s="1229"/>
      <c r="P7" s="1194" t="s">
        <v>214</v>
      </c>
      <c r="Q7" s="1219"/>
    </row>
    <row r="8" spans="1:24">
      <c r="A8" s="1201"/>
      <c r="B8" s="1231"/>
      <c r="C8" s="1228" t="s">
        <v>248</v>
      </c>
      <c r="D8" s="1228"/>
      <c r="E8" s="1228"/>
      <c r="F8" s="1229"/>
      <c r="G8" s="1207" t="s">
        <v>216</v>
      </c>
      <c r="H8" s="1231"/>
      <c r="I8" s="139"/>
      <c r="J8" s="1227"/>
      <c r="K8" s="1227"/>
      <c r="L8" s="1227"/>
      <c r="M8" s="1227"/>
      <c r="N8" s="1207" t="s">
        <v>179</v>
      </c>
      <c r="O8" s="1207" t="s">
        <v>249</v>
      </c>
      <c r="P8" s="1207" t="s">
        <v>179</v>
      </c>
      <c r="Q8" s="1209" t="s">
        <v>249</v>
      </c>
    </row>
    <row r="9" spans="1:24" ht="32.4">
      <c r="A9" s="1202"/>
      <c r="B9" s="1208"/>
      <c r="C9" s="129" t="s">
        <v>169</v>
      </c>
      <c r="D9" s="130" t="s">
        <v>250</v>
      </c>
      <c r="E9" s="130" t="s">
        <v>217</v>
      </c>
      <c r="F9" s="130" t="s">
        <v>170</v>
      </c>
      <c r="G9" s="1208"/>
      <c r="H9" s="1208"/>
      <c r="I9" s="141"/>
      <c r="J9" s="1206"/>
      <c r="K9" s="1206"/>
      <c r="L9" s="1206"/>
      <c r="M9" s="1206"/>
      <c r="N9" s="1208"/>
      <c r="O9" s="1206"/>
      <c r="P9" s="1208"/>
      <c r="Q9" s="1218" t="s">
        <v>215</v>
      </c>
    </row>
    <row r="10" spans="1:24" s="424" customFormat="1" ht="33" customHeight="1">
      <c r="A10" s="416" t="s">
        <v>127</v>
      </c>
      <c r="B10" s="417">
        <f>SUM(B11:B12)</f>
        <v>23586</v>
      </c>
      <c r="C10" s="417">
        <f>SUM(C11:C12)</f>
        <v>23586</v>
      </c>
      <c r="D10" s="441">
        <f>SUM(D11:D12)</f>
        <v>0</v>
      </c>
      <c r="E10" s="417">
        <f>SUM(E11:E12)</f>
        <v>0</v>
      </c>
      <c r="F10" s="417">
        <f>SUM(F11:F12)</f>
        <v>0</v>
      </c>
      <c r="G10" s="417">
        <v>0</v>
      </c>
      <c r="H10" s="418"/>
      <c r="I10" s="419"/>
      <c r="J10" s="420"/>
      <c r="K10" s="421"/>
      <c r="L10" s="421"/>
      <c r="M10" s="421"/>
      <c r="N10" s="417">
        <f>SUM(N11:N12)</f>
        <v>23586</v>
      </c>
      <c r="O10" s="422">
        <f>N10/B10*100</f>
        <v>100</v>
      </c>
      <c r="P10" s="417">
        <f>SUM(P11:P12)</f>
        <v>23586</v>
      </c>
      <c r="Q10" s="423">
        <f>P10/B10*100</f>
        <v>100</v>
      </c>
      <c r="R10" s="1216" t="s">
        <v>629</v>
      </c>
      <c r="S10" s="1217"/>
      <c r="T10" s="1217"/>
      <c r="U10" s="1217"/>
      <c r="V10" s="1217"/>
      <c r="W10" s="1217"/>
      <c r="X10" s="1217"/>
    </row>
    <row r="11" spans="1:24" s="269" customFormat="1" ht="33" hidden="1" customHeight="1">
      <c r="A11" s="132" t="s">
        <v>218</v>
      </c>
      <c r="B11" s="501">
        <v>0</v>
      </c>
      <c r="C11" s="501">
        <f>B11-E11</f>
        <v>0</v>
      </c>
      <c r="D11" s="442">
        <v>0</v>
      </c>
      <c r="E11" s="170">
        <v>0</v>
      </c>
      <c r="F11" s="442">
        <v>0</v>
      </c>
      <c r="G11" s="417">
        <v>0</v>
      </c>
      <c r="H11" s="136"/>
      <c r="I11" s="127"/>
      <c r="J11" s="137"/>
      <c r="K11" s="123"/>
      <c r="L11" s="123"/>
      <c r="M11" s="123"/>
      <c r="N11" s="171">
        <f>'30.固定資產建改擴明細表'!H11</f>
        <v>0</v>
      </c>
      <c r="O11" s="131" t="e">
        <f>N11/B11*100</f>
        <v>#DIV/0!</v>
      </c>
      <c r="P11" s="501">
        <v>0</v>
      </c>
      <c r="Q11" s="288" t="e">
        <f>P11/B11*100</f>
        <v>#DIV/0!</v>
      </c>
      <c r="R11" s="1217"/>
      <c r="S11" s="1217"/>
      <c r="T11" s="1217"/>
      <c r="U11" s="1217"/>
      <c r="V11" s="1217"/>
      <c r="W11" s="1217"/>
      <c r="X11" s="1217"/>
    </row>
    <row r="12" spans="1:24" s="269" customFormat="1" ht="33" customHeight="1">
      <c r="A12" s="134" t="s">
        <v>384</v>
      </c>
      <c r="B12" s="171">
        <f>SUM(C12:F12)</f>
        <v>23586</v>
      </c>
      <c r="C12" s="171">
        <f>'31.固定資產資金來源明細表'!B13</f>
        <v>23586</v>
      </c>
      <c r="D12" s="442">
        <v>0</v>
      </c>
      <c r="E12" s="442">
        <v>0</v>
      </c>
      <c r="F12" s="442">
        <v>0</v>
      </c>
      <c r="G12" s="417">
        <v>0</v>
      </c>
      <c r="H12" s="136"/>
      <c r="I12" s="127"/>
      <c r="J12" s="137" t="s">
        <v>1103</v>
      </c>
      <c r="K12" s="123"/>
      <c r="L12" s="123"/>
      <c r="M12" s="123"/>
      <c r="N12" s="171">
        <f>'30.固定資產建改擴明細表'!H13</f>
        <v>23586</v>
      </c>
      <c r="O12" s="131">
        <f>N12/B12*100</f>
        <v>100</v>
      </c>
      <c r="P12" s="171">
        <f>N12</f>
        <v>23586</v>
      </c>
      <c r="Q12" s="288">
        <f>P12/B12*100</f>
        <v>100</v>
      </c>
      <c r="R12" s="1217"/>
      <c r="S12" s="1217"/>
      <c r="T12" s="1217"/>
      <c r="U12" s="1217"/>
      <c r="V12" s="1217"/>
      <c r="W12" s="1217"/>
      <c r="X12" s="1217"/>
    </row>
    <row r="13" spans="1:24" s="269" customFormat="1" ht="33" customHeight="1">
      <c r="A13" s="132"/>
      <c r="B13" s="123"/>
      <c r="C13" s="123"/>
      <c r="D13" s="123"/>
      <c r="E13" s="123"/>
      <c r="F13" s="123"/>
      <c r="G13" s="123"/>
      <c r="H13" s="136"/>
      <c r="I13" s="127"/>
      <c r="J13" s="136"/>
      <c r="K13" s="123"/>
      <c r="L13" s="123"/>
      <c r="M13" s="123"/>
      <c r="N13" s="123"/>
      <c r="O13" s="123"/>
      <c r="P13" s="123"/>
      <c r="Q13" s="125"/>
      <c r="R13" s="1217"/>
      <c r="S13" s="1217"/>
      <c r="T13" s="1217"/>
      <c r="U13" s="1217"/>
      <c r="V13" s="1217"/>
      <c r="W13" s="1217"/>
      <c r="X13" s="1217"/>
    </row>
    <row r="14" spans="1:24" s="269" customFormat="1" ht="33" customHeight="1">
      <c r="A14" s="132"/>
      <c r="B14" s="123"/>
      <c r="C14" s="123"/>
      <c r="D14" s="123"/>
      <c r="E14" s="123"/>
      <c r="F14" s="123"/>
      <c r="G14" s="123"/>
      <c r="H14" s="136"/>
      <c r="I14" s="127"/>
      <c r="J14" s="136"/>
      <c r="K14" s="123"/>
      <c r="L14" s="123"/>
      <c r="M14" s="123"/>
      <c r="N14" s="123"/>
      <c r="O14" s="123"/>
      <c r="P14" s="123"/>
      <c r="Q14" s="125"/>
      <c r="R14" s="1217"/>
      <c r="S14" s="1217"/>
      <c r="T14" s="1217"/>
      <c r="U14" s="1217"/>
      <c r="V14" s="1217"/>
      <c r="W14" s="1217"/>
      <c r="X14" s="1217"/>
    </row>
    <row r="15" spans="1:24" s="269" customFormat="1" ht="33" customHeight="1">
      <c r="A15" s="132"/>
      <c r="B15" s="123"/>
      <c r="C15" s="123"/>
      <c r="D15" s="123"/>
      <c r="E15" s="123"/>
      <c r="F15" s="123"/>
      <c r="G15" s="123"/>
      <c r="H15" s="136"/>
      <c r="I15" s="127"/>
      <c r="J15" s="136"/>
      <c r="K15" s="123"/>
      <c r="L15" s="123"/>
      <c r="M15" s="123"/>
      <c r="N15" s="123"/>
      <c r="O15" s="123"/>
      <c r="P15" s="123"/>
      <c r="Q15" s="125"/>
      <c r="R15" s="1217"/>
      <c r="S15" s="1217"/>
      <c r="T15" s="1217"/>
      <c r="U15" s="1217"/>
      <c r="V15" s="1217"/>
      <c r="W15" s="1217"/>
      <c r="X15" s="1217"/>
    </row>
    <row r="16" spans="1:24" s="269" customFormat="1" ht="33" customHeight="1">
      <c r="A16" s="132"/>
      <c r="B16" s="123"/>
      <c r="C16" s="123"/>
      <c r="D16" s="123"/>
      <c r="E16" s="123"/>
      <c r="F16" s="123"/>
      <c r="G16" s="123"/>
      <c r="H16" s="136"/>
      <c r="I16" s="127"/>
      <c r="J16" s="136"/>
      <c r="K16" s="123"/>
      <c r="L16" s="123"/>
      <c r="M16" s="123"/>
      <c r="N16" s="123"/>
      <c r="O16" s="123"/>
      <c r="P16" s="123"/>
      <c r="Q16" s="125"/>
      <c r="R16" s="1217"/>
      <c r="S16" s="1217"/>
      <c r="T16" s="1217"/>
      <c r="U16" s="1217"/>
      <c r="V16" s="1217"/>
      <c r="W16" s="1217"/>
      <c r="X16" s="1217"/>
    </row>
    <row r="17" spans="1:24" s="269" customFormat="1" ht="33" customHeight="1">
      <c r="A17" s="132"/>
      <c r="B17" s="123"/>
      <c r="C17" s="123"/>
      <c r="D17" s="123"/>
      <c r="E17" s="123"/>
      <c r="F17" s="123"/>
      <c r="G17" s="123"/>
      <c r="H17" s="136"/>
      <c r="I17" s="127"/>
      <c r="J17" s="136"/>
      <c r="K17" s="123"/>
      <c r="L17" s="123"/>
      <c r="M17" s="123"/>
      <c r="N17" s="123"/>
      <c r="O17" s="123"/>
      <c r="P17" s="123"/>
      <c r="Q17" s="125"/>
      <c r="R17" s="1217"/>
      <c r="S17" s="1217"/>
      <c r="T17" s="1217"/>
      <c r="U17" s="1217"/>
      <c r="V17" s="1217"/>
      <c r="W17" s="1217"/>
      <c r="X17" s="1217"/>
    </row>
    <row r="18" spans="1:24" s="269" customFormat="1" ht="33" customHeight="1">
      <c r="A18" s="132"/>
      <c r="B18" s="123"/>
      <c r="C18" s="123"/>
      <c r="D18" s="123"/>
      <c r="E18" s="123"/>
      <c r="F18" s="123"/>
      <c r="G18" s="123"/>
      <c r="H18" s="136"/>
      <c r="I18" s="127"/>
      <c r="J18" s="136"/>
      <c r="K18" s="123"/>
      <c r="L18" s="123"/>
      <c r="M18" s="123"/>
      <c r="N18" s="123"/>
      <c r="O18" s="123"/>
      <c r="P18" s="123"/>
      <c r="Q18" s="125"/>
      <c r="R18" s="1217"/>
      <c r="S18" s="1217"/>
      <c r="T18" s="1217"/>
      <c r="U18" s="1217"/>
      <c r="V18" s="1217"/>
      <c r="W18" s="1217"/>
      <c r="X18" s="1217"/>
    </row>
    <row r="19" spans="1:24" s="269" customFormat="1" ht="33" customHeight="1">
      <c r="A19" s="132"/>
      <c r="B19" s="123"/>
      <c r="C19" s="123"/>
      <c r="D19" s="123"/>
      <c r="E19" s="123"/>
      <c r="F19" s="123"/>
      <c r="G19" s="123"/>
      <c r="H19" s="136"/>
      <c r="I19" s="127"/>
      <c r="J19" s="136"/>
      <c r="K19" s="123"/>
      <c r="L19" s="123"/>
      <c r="M19" s="123"/>
      <c r="N19" s="123"/>
      <c r="O19" s="123"/>
      <c r="P19" s="123"/>
      <c r="Q19" s="125"/>
    </row>
    <row r="20" spans="1:24" s="269" customFormat="1" ht="33" customHeight="1">
      <c r="A20" s="132"/>
      <c r="B20" s="123"/>
      <c r="C20" s="123"/>
      <c r="D20" s="123"/>
      <c r="E20" s="123"/>
      <c r="F20" s="123"/>
      <c r="G20" s="123"/>
      <c r="H20" s="136"/>
      <c r="I20" s="127"/>
      <c r="J20" s="136"/>
      <c r="K20" s="123"/>
      <c r="L20" s="123"/>
      <c r="M20" s="123"/>
      <c r="N20" s="123"/>
      <c r="O20" s="123"/>
      <c r="P20" s="123"/>
      <c r="Q20" s="125"/>
    </row>
    <row r="21" spans="1:24" s="269" customFormat="1" ht="33" customHeight="1">
      <c r="A21" s="132"/>
      <c r="B21" s="123"/>
      <c r="C21" s="123"/>
      <c r="D21" s="123"/>
      <c r="E21" s="123"/>
      <c r="F21" s="123"/>
      <c r="G21" s="123"/>
      <c r="H21" s="136"/>
      <c r="I21" s="127"/>
      <c r="J21" s="136"/>
      <c r="K21" s="123"/>
      <c r="L21" s="123"/>
      <c r="M21" s="123"/>
      <c r="N21" s="123"/>
      <c r="O21" s="123"/>
      <c r="P21" s="123"/>
      <c r="Q21" s="125"/>
    </row>
    <row r="22" spans="1:24" s="269" customFormat="1" ht="33" hidden="1" customHeight="1">
      <c r="A22" s="132"/>
      <c r="B22" s="123"/>
      <c r="C22" s="123"/>
      <c r="D22" s="123"/>
      <c r="E22" s="123"/>
      <c r="F22" s="123"/>
      <c r="G22" s="123"/>
      <c r="H22" s="136"/>
      <c r="I22" s="127"/>
      <c r="J22" s="136"/>
      <c r="K22" s="123"/>
      <c r="L22" s="123"/>
      <c r="M22" s="123"/>
      <c r="N22" s="123"/>
      <c r="O22" s="123"/>
      <c r="P22" s="123"/>
      <c r="Q22" s="125"/>
    </row>
    <row r="23" spans="1:24" s="269" customFormat="1" ht="33" customHeight="1">
      <c r="A23" s="132"/>
      <c r="B23" s="123"/>
      <c r="C23" s="123"/>
      <c r="D23" s="123"/>
      <c r="E23" s="123"/>
      <c r="F23" s="123"/>
      <c r="G23" s="123"/>
      <c r="H23" s="136"/>
      <c r="I23" s="127"/>
      <c r="J23" s="136"/>
      <c r="K23" s="123"/>
      <c r="L23" s="123"/>
      <c r="M23" s="123"/>
      <c r="N23" s="123"/>
      <c r="O23" s="123"/>
      <c r="P23" s="123"/>
      <c r="Q23" s="125"/>
    </row>
    <row r="24" spans="1:24" s="269" customFormat="1" ht="33" customHeight="1">
      <c r="A24" s="132"/>
      <c r="B24" s="123"/>
      <c r="C24" s="123"/>
      <c r="D24" s="123"/>
      <c r="E24" s="123"/>
      <c r="F24" s="123"/>
      <c r="G24" s="123"/>
      <c r="H24" s="136"/>
      <c r="I24" s="127"/>
      <c r="J24" s="136"/>
      <c r="K24" s="123"/>
      <c r="L24" s="123"/>
      <c r="M24" s="123"/>
      <c r="N24" s="123"/>
      <c r="O24" s="123"/>
      <c r="P24" s="123"/>
      <c r="Q24" s="125"/>
    </row>
    <row r="25" spans="1:24" s="269" customFormat="1" ht="33" customHeight="1">
      <c r="A25" s="132"/>
      <c r="B25" s="123"/>
      <c r="C25" s="123"/>
      <c r="D25" s="123"/>
      <c r="E25" s="123"/>
      <c r="F25" s="123"/>
      <c r="G25" s="123"/>
      <c r="H25" s="136"/>
      <c r="I25" s="127"/>
      <c r="J25" s="136"/>
      <c r="K25" s="123"/>
      <c r="L25" s="123"/>
      <c r="M25" s="123"/>
      <c r="N25" s="123"/>
      <c r="O25" s="123"/>
      <c r="P25" s="123"/>
      <c r="Q25" s="125"/>
    </row>
    <row r="26" spans="1:24" s="269" customFormat="1" ht="33" customHeight="1">
      <c r="A26" s="132"/>
      <c r="B26" s="123"/>
      <c r="C26" s="123"/>
      <c r="D26" s="123"/>
      <c r="E26" s="123"/>
      <c r="F26" s="123"/>
      <c r="G26" s="123"/>
      <c r="H26" s="136"/>
      <c r="I26" s="127"/>
      <c r="J26" s="136"/>
      <c r="K26" s="123"/>
      <c r="L26" s="123"/>
      <c r="M26" s="123"/>
      <c r="N26" s="123"/>
      <c r="O26" s="123"/>
      <c r="P26" s="123"/>
      <c r="Q26" s="125"/>
    </row>
    <row r="27" spans="1:24" s="269" customFormat="1" ht="33" customHeight="1">
      <c r="A27" s="132"/>
      <c r="B27" s="123"/>
      <c r="C27" s="123"/>
      <c r="D27" s="123"/>
      <c r="E27" s="123"/>
      <c r="F27" s="123"/>
      <c r="G27" s="123"/>
      <c r="H27" s="136"/>
      <c r="I27" s="127"/>
      <c r="J27" s="136"/>
      <c r="K27" s="123"/>
      <c r="L27" s="123"/>
      <c r="M27" s="123"/>
      <c r="N27" s="123"/>
      <c r="O27" s="123"/>
      <c r="P27" s="123"/>
      <c r="Q27" s="125"/>
    </row>
    <row r="28" spans="1:24" s="269" customFormat="1" ht="33" customHeight="1">
      <c r="A28" s="132"/>
      <c r="B28" s="123"/>
      <c r="C28" s="123"/>
      <c r="D28" s="123"/>
      <c r="E28" s="123"/>
      <c r="F28" s="123"/>
      <c r="G28" s="123"/>
      <c r="H28" s="136"/>
      <c r="I28" s="127"/>
      <c r="J28" s="136"/>
      <c r="K28" s="123"/>
      <c r="L28" s="123"/>
      <c r="M28" s="123"/>
      <c r="N28" s="123"/>
      <c r="O28" s="123"/>
      <c r="P28" s="123"/>
      <c r="Q28" s="125"/>
    </row>
    <row r="29" spans="1:24" s="269" customFormat="1" ht="61.8" customHeight="1" thickBot="1">
      <c r="A29" s="135" t="s">
        <v>385</v>
      </c>
      <c r="B29" s="133"/>
      <c r="C29" s="133"/>
      <c r="D29" s="133"/>
      <c r="E29" s="133"/>
      <c r="F29" s="133"/>
      <c r="G29" s="133"/>
      <c r="H29" s="138"/>
      <c r="I29" s="128"/>
      <c r="J29" s="138"/>
      <c r="K29" s="133"/>
      <c r="L29" s="133"/>
      <c r="M29" s="133"/>
      <c r="N29" s="133"/>
      <c r="O29" s="133"/>
      <c r="P29" s="133"/>
      <c r="Q29" s="124"/>
    </row>
  </sheetData>
  <mergeCells count="29">
    <mergeCell ref="K7:K9"/>
    <mergeCell ref="C7:G7"/>
    <mergeCell ref="B7:B9"/>
    <mergeCell ref="H5:J5"/>
    <mergeCell ref="A3:H3"/>
    <mergeCell ref="J3:Q3"/>
    <mergeCell ref="J4:Q4"/>
    <mergeCell ref="A4:H4"/>
    <mergeCell ref="A1:H1"/>
    <mergeCell ref="A6:A9"/>
    <mergeCell ref="B6:M6"/>
    <mergeCell ref="J1:Q1"/>
    <mergeCell ref="J2:Q2"/>
    <mergeCell ref="N6:Q6"/>
    <mergeCell ref="G8:G9"/>
    <mergeCell ref="O5:Q5"/>
    <mergeCell ref="L7:L9"/>
    <mergeCell ref="C8:F8"/>
    <mergeCell ref="N7:O7"/>
    <mergeCell ref="H7:H9"/>
    <mergeCell ref="M7:M9"/>
    <mergeCell ref="N8:N9"/>
    <mergeCell ref="J7:J9"/>
    <mergeCell ref="A2:H2"/>
    <mergeCell ref="R10:X18"/>
    <mergeCell ref="O8:O9"/>
    <mergeCell ref="Q8:Q9"/>
    <mergeCell ref="P8:P9"/>
    <mergeCell ref="P7:Q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2" orientation="portrait" useFirstPageNumber="1" r:id="rId1"/>
  <headerFooter scaleWithDoc="0" alignWithMargins="0">
    <oddFooter>&amp;C&amp;"Arial Unicode MS,標準"&amp;P</oddFooter>
  </headerFooter>
</worksheet>
</file>

<file path=xl/worksheets/sheet27.xml><?xml version="1.0" encoding="utf-8"?>
<worksheet xmlns="http://schemas.openxmlformats.org/spreadsheetml/2006/main" xmlns:r="http://schemas.openxmlformats.org/officeDocument/2006/relationships">
  <sheetPr codeName="Sheet30">
    <tabColor rgb="FFFFFFCC"/>
  </sheetPr>
  <dimension ref="A1:I29"/>
  <sheetViews>
    <sheetView topLeftCell="A24" workbookViewId="0">
      <selection activeCell="A33" sqref="A33"/>
    </sheetView>
  </sheetViews>
  <sheetFormatPr defaultColWidth="9" defaultRowHeight="16.2"/>
  <cols>
    <col min="1" max="1" width="27.6640625" style="605" customWidth="1"/>
    <col min="2" max="3" width="6.6640625" style="605" customWidth="1"/>
    <col min="4" max="4" width="10.6640625" style="605" customWidth="1"/>
    <col min="5" max="5" width="9.5546875" style="605" customWidth="1"/>
    <col min="6" max="6" width="10.109375" style="605" customWidth="1"/>
    <col min="7" max="7" width="7.6640625" style="605" customWidth="1"/>
    <col min="8" max="8" width="6" style="605" customWidth="1"/>
    <col min="9" max="9" width="10.88671875" style="605" customWidth="1"/>
    <col min="10" max="16384" width="9" style="605"/>
  </cols>
  <sheetData>
    <row r="1" spans="1:9" s="641" customFormat="1" ht="24.6">
      <c r="A1" s="1005" t="s">
        <v>223</v>
      </c>
      <c r="B1" s="1005"/>
      <c r="C1" s="1005"/>
      <c r="D1" s="1005"/>
      <c r="E1" s="1005"/>
      <c r="F1" s="1005"/>
      <c r="G1" s="1005"/>
      <c r="H1" s="1005"/>
      <c r="I1" s="1005"/>
    </row>
    <row r="2" spans="1:9" s="642" customFormat="1" ht="22.2">
      <c r="A2" s="1007" t="s">
        <v>76</v>
      </c>
      <c r="B2" s="1007"/>
      <c r="C2" s="1007"/>
      <c r="D2" s="1007"/>
      <c r="E2" s="1007"/>
      <c r="F2" s="1007"/>
      <c r="G2" s="1007"/>
      <c r="H2" s="1007"/>
      <c r="I2" s="1007"/>
    </row>
    <row r="3" spans="1:9" s="642" customFormat="1" ht="22.2">
      <c r="A3" s="1008" t="s">
        <v>154</v>
      </c>
      <c r="B3" s="1008"/>
      <c r="C3" s="1008"/>
      <c r="D3" s="1008"/>
      <c r="E3" s="1008"/>
      <c r="F3" s="1008"/>
      <c r="G3" s="1008"/>
      <c r="H3" s="1008"/>
      <c r="I3" s="1008"/>
    </row>
    <row r="4" spans="1:9" s="643" customFormat="1" ht="19.8">
      <c r="A4" s="1009" t="s">
        <v>1020</v>
      </c>
      <c r="B4" s="1009"/>
      <c r="C4" s="1009"/>
      <c r="D4" s="1009"/>
      <c r="E4" s="1009"/>
      <c r="F4" s="1009"/>
      <c r="G4" s="1009"/>
      <c r="H4" s="1009"/>
      <c r="I4" s="1009"/>
    </row>
    <row r="5" spans="1:9" ht="16.8" thickBot="1">
      <c r="F5" s="1246" t="s">
        <v>644</v>
      </c>
      <c r="G5" s="1246"/>
      <c r="H5" s="1246"/>
      <c r="I5" s="1247"/>
    </row>
    <row r="6" spans="1:9" ht="23.4" customHeight="1">
      <c r="A6" s="1248" t="s">
        <v>422</v>
      </c>
      <c r="B6" s="1250" t="s">
        <v>1133</v>
      </c>
      <c r="C6" s="1250"/>
      <c r="D6" s="1250"/>
      <c r="E6" s="1250"/>
      <c r="F6" s="1250"/>
      <c r="G6" s="1250" t="s">
        <v>1134</v>
      </c>
      <c r="H6" s="1250" t="s">
        <v>1135</v>
      </c>
      <c r="I6" s="1252" t="s">
        <v>149</v>
      </c>
    </row>
    <row r="7" spans="1:9" ht="42" customHeight="1">
      <c r="A7" s="1249"/>
      <c r="B7" s="973" t="s">
        <v>423</v>
      </c>
      <c r="C7" s="973" t="s">
        <v>424</v>
      </c>
      <c r="D7" s="973" t="s">
        <v>155</v>
      </c>
      <c r="E7" s="973" t="s">
        <v>192</v>
      </c>
      <c r="F7" s="973" t="s">
        <v>193</v>
      </c>
      <c r="G7" s="1251"/>
      <c r="H7" s="1251"/>
      <c r="I7" s="1253"/>
    </row>
    <row r="8" spans="1:9" s="648" customFormat="1" ht="33" customHeight="1">
      <c r="A8" s="644" t="s">
        <v>425</v>
      </c>
      <c r="B8" s="645"/>
      <c r="C8" s="645"/>
      <c r="D8" s="646">
        <f>'37.預計平衡表'!A20</f>
        <v>150340</v>
      </c>
      <c r="E8" s="646">
        <f>'37.預計平衡表'!A23</f>
        <v>11540</v>
      </c>
      <c r="F8" s="646">
        <f>'37.預計平衡表'!A26</f>
        <v>26407</v>
      </c>
      <c r="G8" s="970"/>
      <c r="H8" s="970"/>
      <c r="I8" s="647">
        <f>SUM(B8:F8)</f>
        <v>188287</v>
      </c>
    </row>
    <row r="9" spans="1:9" s="648" customFormat="1" ht="33" customHeight="1">
      <c r="A9" s="644" t="s">
        <v>1015</v>
      </c>
      <c r="B9" s="645"/>
      <c r="C9" s="645"/>
      <c r="D9" s="646">
        <v>16745</v>
      </c>
      <c r="E9" s="646">
        <v>0</v>
      </c>
      <c r="F9" s="646">
        <v>1538</v>
      </c>
      <c r="G9" s="970"/>
      <c r="H9" s="970"/>
      <c r="I9" s="647">
        <f>SUM(B9:F9)</f>
        <v>18283</v>
      </c>
    </row>
    <row r="10" spans="1:9" s="648" customFormat="1" ht="33" customHeight="1">
      <c r="A10" s="649" t="s">
        <v>1016</v>
      </c>
      <c r="B10" s="538"/>
      <c r="C10" s="538"/>
      <c r="D10" s="646">
        <f>'30.固定資產建改擴明細表'!E9</f>
        <v>20877</v>
      </c>
      <c r="E10" s="646">
        <f>'30.固定資產建改擴明細表'!F9</f>
        <v>0</v>
      </c>
      <c r="F10" s="646">
        <f>'30.固定資產建改擴明細表'!G9</f>
        <v>2709</v>
      </c>
      <c r="G10" s="970"/>
      <c r="H10" s="970"/>
      <c r="I10" s="647">
        <f>SUM(B10:F10)</f>
        <v>23586</v>
      </c>
    </row>
    <row r="11" spans="1:9" s="648" customFormat="1" ht="33" customHeight="1">
      <c r="A11" s="649" t="s">
        <v>426</v>
      </c>
      <c r="B11" s="538"/>
      <c r="C11" s="538"/>
      <c r="D11" s="646"/>
      <c r="E11" s="646"/>
      <c r="F11" s="646"/>
      <c r="G11" s="970"/>
      <c r="H11" s="970"/>
      <c r="I11" s="647"/>
    </row>
    <row r="12" spans="1:9" s="648" customFormat="1" ht="33" customHeight="1">
      <c r="A12" s="649" t="s">
        <v>427</v>
      </c>
      <c r="B12" s="538"/>
      <c r="C12" s="538"/>
      <c r="D12" s="646">
        <f>SUM(D8:D10)</f>
        <v>187962</v>
      </c>
      <c r="E12" s="646">
        <f>SUM(E8:E10)</f>
        <v>11540</v>
      </c>
      <c r="F12" s="646">
        <f>SUM(F8:F10)</f>
        <v>30654</v>
      </c>
      <c r="G12" s="970"/>
      <c r="H12" s="970"/>
      <c r="I12" s="647">
        <f>SUM(I8:I10)</f>
        <v>230156</v>
      </c>
    </row>
    <row r="13" spans="1:9" s="648" customFormat="1" ht="33" hidden="1" customHeight="1">
      <c r="A13" s="649" t="s">
        <v>428</v>
      </c>
      <c r="B13" s="1242" t="s">
        <v>432</v>
      </c>
      <c r="C13" s="1243"/>
      <c r="D13" s="1243"/>
      <c r="E13" s="1243"/>
      <c r="F13" s="1243"/>
      <c r="G13" s="1243"/>
      <c r="H13" s="1243"/>
      <c r="I13" s="1244"/>
    </row>
    <row r="14" spans="1:9" s="648" customFormat="1" ht="33" hidden="1" customHeight="1">
      <c r="A14" s="649" t="s">
        <v>429</v>
      </c>
      <c r="B14" s="1242" t="s">
        <v>444</v>
      </c>
      <c r="C14" s="1243"/>
      <c r="D14" s="1243"/>
      <c r="E14" s="1243"/>
      <c r="F14" s="1243"/>
      <c r="G14" s="1243"/>
      <c r="H14" s="1243"/>
      <c r="I14" s="1245"/>
    </row>
    <row r="15" spans="1:9" s="652" customFormat="1" ht="33" customHeight="1">
      <c r="A15" s="650" t="s">
        <v>430</v>
      </c>
      <c r="B15" s="651"/>
      <c r="C15" s="651"/>
      <c r="D15" s="959">
        <f>SUM(D16)</f>
        <v>18055</v>
      </c>
      <c r="E15" s="959">
        <f>SUM(E16:E16)</f>
        <v>595</v>
      </c>
      <c r="F15" s="959">
        <f>SUM(F16:F16)</f>
        <v>1344</v>
      </c>
      <c r="G15" s="971"/>
      <c r="H15" s="971"/>
      <c r="I15" s="960">
        <f>SUM(B15:F15)</f>
        <v>19994</v>
      </c>
    </row>
    <row r="16" spans="1:9" s="648" customFormat="1" ht="33" customHeight="1">
      <c r="A16" s="653" t="s">
        <v>431</v>
      </c>
      <c r="B16" s="538"/>
      <c r="C16" s="538"/>
      <c r="D16" s="646">
        <f>'40-41.各項費用彙計表(7級) '!G74</f>
        <v>18055</v>
      </c>
      <c r="E16" s="646">
        <f>'40-41.各項費用彙計表(7級) '!G75</f>
        <v>595</v>
      </c>
      <c r="F16" s="646">
        <f>'40-41.各項費用彙計表(7級) '!G76</f>
        <v>1344</v>
      </c>
      <c r="G16" s="970"/>
      <c r="H16" s="970"/>
      <c r="I16" s="647">
        <f>SUM(B16:F16)</f>
        <v>19994</v>
      </c>
    </row>
    <row r="17" spans="1:9" ht="33" customHeight="1">
      <c r="A17" s="654"/>
      <c r="B17" s="343"/>
      <c r="C17" s="343"/>
      <c r="D17" s="343"/>
      <c r="E17" s="343"/>
      <c r="F17" s="343"/>
      <c r="G17" s="621"/>
      <c r="H17" s="621"/>
      <c r="I17" s="627"/>
    </row>
    <row r="18" spans="1:9" ht="33" customHeight="1">
      <c r="A18" s="654"/>
      <c r="B18" s="343"/>
      <c r="C18" s="343"/>
      <c r="D18" s="343"/>
      <c r="E18" s="343"/>
      <c r="F18" s="343"/>
      <c r="G18" s="621"/>
      <c r="H18" s="621"/>
      <c r="I18" s="627"/>
    </row>
    <row r="19" spans="1:9" ht="33" customHeight="1">
      <c r="A19" s="654"/>
      <c r="B19" s="343"/>
      <c r="C19" s="343"/>
      <c r="D19" s="343"/>
      <c r="E19" s="343"/>
      <c r="F19" s="343"/>
      <c r="G19" s="621"/>
      <c r="H19" s="621"/>
      <c r="I19" s="627"/>
    </row>
    <row r="20" spans="1:9" ht="33" customHeight="1">
      <c r="A20" s="654"/>
      <c r="B20" s="343"/>
      <c r="C20" s="343"/>
      <c r="D20" s="343"/>
      <c r="E20" s="343"/>
      <c r="F20" s="343"/>
      <c r="G20" s="621"/>
      <c r="H20" s="621"/>
      <c r="I20" s="627"/>
    </row>
    <row r="21" spans="1:9" ht="33" customHeight="1">
      <c r="A21" s="654"/>
      <c r="B21" s="343"/>
      <c r="C21" s="343"/>
      <c r="D21" s="343"/>
      <c r="E21" s="343"/>
      <c r="F21" s="343"/>
      <c r="G21" s="621"/>
      <c r="H21" s="621"/>
      <c r="I21" s="627"/>
    </row>
    <row r="22" spans="1:9" ht="33" customHeight="1">
      <c r="A22" s="654"/>
      <c r="B22" s="343"/>
      <c r="C22" s="343"/>
      <c r="D22" s="343"/>
      <c r="E22" s="343"/>
      <c r="F22" s="343"/>
      <c r="G22" s="621"/>
      <c r="H22" s="621"/>
      <c r="I22" s="627"/>
    </row>
    <row r="23" spans="1:9" ht="33" customHeight="1">
      <c r="A23" s="654"/>
      <c r="B23" s="343"/>
      <c r="C23" s="343"/>
      <c r="D23" s="343"/>
      <c r="E23" s="343"/>
      <c r="F23" s="343"/>
      <c r="G23" s="621"/>
      <c r="H23" s="621"/>
      <c r="I23" s="627"/>
    </row>
    <row r="24" spans="1:9" ht="33" customHeight="1">
      <c r="A24" s="654"/>
      <c r="B24" s="343"/>
      <c r="C24" s="343"/>
      <c r="D24" s="343"/>
      <c r="E24" s="343"/>
      <c r="F24" s="343"/>
      <c r="G24" s="621"/>
      <c r="H24" s="621"/>
      <c r="I24" s="627"/>
    </row>
    <row r="25" spans="1:9" ht="33" customHeight="1">
      <c r="A25" s="654"/>
      <c r="B25" s="343"/>
      <c r="C25" s="343"/>
      <c r="D25" s="343"/>
      <c r="E25" s="343"/>
      <c r="F25" s="343"/>
      <c r="G25" s="621"/>
      <c r="H25" s="621"/>
      <c r="I25" s="627"/>
    </row>
    <row r="26" spans="1:9" ht="33" customHeight="1">
      <c r="A26" s="654"/>
      <c r="B26" s="343"/>
      <c r="C26" s="343"/>
      <c r="D26" s="343"/>
      <c r="E26" s="343"/>
      <c r="F26" s="343"/>
      <c r="G26" s="621"/>
      <c r="H26" s="621"/>
      <c r="I26" s="627"/>
    </row>
    <row r="27" spans="1:9" ht="33" customHeight="1">
      <c r="A27" s="654"/>
      <c r="B27" s="343"/>
      <c r="C27" s="343"/>
      <c r="D27" s="343"/>
      <c r="E27" s="343"/>
      <c r="F27" s="343"/>
      <c r="G27" s="621"/>
      <c r="H27" s="621"/>
      <c r="I27" s="627"/>
    </row>
    <row r="28" spans="1:9" ht="33" customHeight="1">
      <c r="A28" s="654"/>
      <c r="B28" s="343"/>
      <c r="C28" s="343"/>
      <c r="D28" s="343"/>
      <c r="E28" s="343"/>
      <c r="F28" s="343"/>
      <c r="G28" s="621"/>
      <c r="H28" s="621"/>
      <c r="I28" s="627"/>
    </row>
    <row r="29" spans="1:9" ht="48" customHeight="1" thickBot="1">
      <c r="A29" s="655"/>
      <c r="B29" s="603"/>
      <c r="C29" s="603"/>
      <c r="D29" s="603"/>
      <c r="E29" s="603"/>
      <c r="F29" s="603"/>
      <c r="G29" s="972"/>
      <c r="H29" s="972"/>
      <c r="I29" s="640"/>
    </row>
  </sheetData>
  <mergeCells count="12">
    <mergeCell ref="B13:I13"/>
    <mergeCell ref="B14:I14"/>
    <mergeCell ref="F5:I5"/>
    <mergeCell ref="A1:I1"/>
    <mergeCell ref="A2:I2"/>
    <mergeCell ref="A4:I4"/>
    <mergeCell ref="A3:I3"/>
    <mergeCell ref="A6:A7"/>
    <mergeCell ref="B6:F6"/>
    <mergeCell ref="G6:G7"/>
    <mergeCell ref="H6:H7"/>
    <mergeCell ref="I6:I7"/>
  </mergeCells>
  <phoneticPr fontId="14" type="noConversion"/>
  <printOptions horizontalCentered="1"/>
  <pageMargins left="0.6692913385826772" right="0.6692913385826772" top="0.59055118110236227" bottom="0.78740157480314965" header="0.51181102362204722" footer="0.51181102362204722"/>
  <pageSetup paperSize="9" scale="90" firstPageNumber="34" orientation="portrait" blackAndWhite="1" useFirstPageNumber="1" r:id="rId1"/>
  <headerFooter scaleWithDoc="0" alignWithMargins="0">
    <oddFooter>&amp;C&amp;"Arial Unicode MS,標準"&amp;P</oddFooter>
  </headerFooter>
</worksheet>
</file>

<file path=xl/worksheets/sheet28.xml><?xml version="1.0" encoding="utf-8"?>
<worksheet xmlns="http://schemas.openxmlformats.org/spreadsheetml/2006/main" xmlns:r="http://schemas.openxmlformats.org/officeDocument/2006/relationships">
  <sheetPr codeName="Sheet31" enableFormatConditionsCalculation="0">
    <tabColor indexed="42"/>
  </sheetPr>
  <dimension ref="A1:G26"/>
  <sheetViews>
    <sheetView workbookViewId="0">
      <selection activeCell="B12" sqref="B12:G12"/>
    </sheetView>
  </sheetViews>
  <sheetFormatPr defaultColWidth="9" defaultRowHeight="16.2"/>
  <cols>
    <col min="1" max="1" width="35.88671875" style="1" customWidth="1"/>
    <col min="2" max="3" width="6.6640625" style="1" customWidth="1"/>
    <col min="4" max="6" width="10.6640625" style="1" customWidth="1"/>
    <col min="7" max="7" width="11.33203125" style="1" customWidth="1"/>
    <col min="8" max="16384" width="9" style="1"/>
  </cols>
  <sheetData>
    <row r="1" spans="1:7" s="149" customFormat="1" ht="24.6">
      <c r="A1" s="981" t="s">
        <v>486</v>
      </c>
      <c r="B1" s="981"/>
      <c r="C1" s="981"/>
      <c r="D1" s="981"/>
      <c r="E1" s="981"/>
      <c r="F1" s="981"/>
      <c r="G1" s="981"/>
    </row>
    <row r="2" spans="1:7" s="167" customFormat="1" ht="22.2">
      <c r="A2" s="1183" t="s">
        <v>487</v>
      </c>
      <c r="B2" s="1183"/>
      <c r="C2" s="1183"/>
      <c r="D2" s="1183"/>
      <c r="E2" s="1183"/>
      <c r="F2" s="1183"/>
      <c r="G2" s="1183"/>
    </row>
    <row r="3" spans="1:7" s="167" customFormat="1" ht="22.2">
      <c r="A3" s="982" t="s">
        <v>488</v>
      </c>
      <c r="B3" s="982"/>
      <c r="C3" s="982"/>
      <c r="D3" s="982"/>
      <c r="E3" s="982"/>
      <c r="F3" s="982"/>
      <c r="G3" s="982"/>
    </row>
    <row r="4" spans="1:7" s="168" customFormat="1" ht="19.8">
      <c r="A4" s="983" t="s">
        <v>976</v>
      </c>
      <c r="B4" s="983"/>
      <c r="C4" s="983"/>
      <c r="D4" s="983"/>
      <c r="E4" s="983"/>
      <c r="F4" s="983"/>
      <c r="G4" s="983"/>
    </row>
    <row r="5" spans="1:7" ht="16.8" thickBot="1">
      <c r="F5" s="1257" t="s">
        <v>644</v>
      </c>
      <c r="G5" s="1258"/>
    </row>
    <row r="6" spans="1:7" ht="42" customHeight="1">
      <c r="A6" s="15" t="s">
        <v>489</v>
      </c>
      <c r="B6" s="392" t="s">
        <v>490</v>
      </c>
      <c r="C6" s="392" t="s">
        <v>491</v>
      </c>
      <c r="D6" s="392" t="s">
        <v>492</v>
      </c>
      <c r="E6" s="393" t="s">
        <v>192</v>
      </c>
      <c r="F6" s="393" t="s">
        <v>193</v>
      </c>
      <c r="G6" s="16" t="s">
        <v>493</v>
      </c>
    </row>
    <row r="7" spans="1:7" s="380" customFormat="1" ht="33" customHeight="1">
      <c r="A7" s="317" t="s">
        <v>494</v>
      </c>
      <c r="B7" s="318"/>
      <c r="C7" s="318"/>
      <c r="D7" s="646">
        <v>151370</v>
      </c>
      <c r="E7" s="646">
        <v>12715</v>
      </c>
      <c r="F7" s="646">
        <v>25650</v>
      </c>
      <c r="G7" s="388">
        <f>SUM(B7:F7)</f>
        <v>189735</v>
      </c>
    </row>
    <row r="8" spans="1:7" s="380" customFormat="1" ht="33" customHeight="1">
      <c r="A8" s="317" t="s">
        <v>495</v>
      </c>
      <c r="B8" s="318"/>
      <c r="C8" s="318"/>
      <c r="D8" s="646">
        <v>18898</v>
      </c>
      <c r="E8" s="646">
        <v>0</v>
      </c>
      <c r="F8" s="646">
        <v>252</v>
      </c>
      <c r="G8" s="388">
        <f>SUM(B8:F8)</f>
        <v>19150</v>
      </c>
    </row>
    <row r="9" spans="1:7" s="380" customFormat="1" ht="33" customHeight="1">
      <c r="A9" s="389" t="s">
        <v>496</v>
      </c>
      <c r="B9" s="390"/>
      <c r="C9" s="390"/>
      <c r="D9" s="387">
        <f>'30.固定資產建改擴明細表'!E9</f>
        <v>20877</v>
      </c>
      <c r="E9" s="387">
        <f>'30.固定資產建改擴明細表'!F9</f>
        <v>0</v>
      </c>
      <c r="F9" s="387">
        <f>'30.固定資產建改擴明細表'!G9</f>
        <v>2709</v>
      </c>
      <c r="G9" s="388">
        <f>SUM(B9:F9)</f>
        <v>23586</v>
      </c>
    </row>
    <row r="10" spans="1:7" s="380" customFormat="1" ht="33" customHeight="1">
      <c r="A10" s="389" t="s">
        <v>497</v>
      </c>
      <c r="B10" s="390"/>
      <c r="C10" s="390"/>
      <c r="D10" s="387"/>
      <c r="E10" s="387"/>
      <c r="F10" s="387"/>
      <c r="G10" s="388"/>
    </row>
    <row r="11" spans="1:7" s="380" customFormat="1" ht="33" customHeight="1">
      <c r="A11" s="389" t="s">
        <v>498</v>
      </c>
      <c r="B11" s="390"/>
      <c r="C11" s="390"/>
      <c r="D11" s="387">
        <f>SUM(D7:D9)</f>
        <v>191145</v>
      </c>
      <c r="E11" s="387">
        <f>SUM(E7:E9)</f>
        <v>12715</v>
      </c>
      <c r="F11" s="387">
        <f>SUM(F7:F9)</f>
        <v>28611</v>
      </c>
      <c r="G11" s="484">
        <f>SUM(G7:G9)</f>
        <v>232471</v>
      </c>
    </row>
    <row r="12" spans="1:7" s="380" customFormat="1" ht="33" customHeight="1">
      <c r="A12" s="389" t="s">
        <v>499</v>
      </c>
      <c r="B12" s="1254" t="s">
        <v>500</v>
      </c>
      <c r="C12" s="1255"/>
      <c r="D12" s="1255"/>
      <c r="E12" s="1255"/>
      <c r="F12" s="1255"/>
      <c r="G12" s="1256"/>
    </row>
    <row r="13" spans="1:7" s="380" customFormat="1" ht="33" customHeight="1">
      <c r="A13" s="389" t="s">
        <v>501</v>
      </c>
      <c r="B13" s="1254" t="s">
        <v>502</v>
      </c>
      <c r="C13" s="1255"/>
      <c r="D13" s="1255"/>
      <c r="E13" s="1255"/>
      <c r="F13" s="1255"/>
      <c r="G13" s="1256"/>
    </row>
    <row r="14" spans="1:7" s="402" customFormat="1" ht="33" customHeight="1">
      <c r="A14" s="425" t="s">
        <v>503</v>
      </c>
      <c r="B14" s="426"/>
      <c r="C14" s="426"/>
      <c r="D14" s="427">
        <f>SUM(D15)</f>
        <v>18055</v>
      </c>
      <c r="E14" s="427">
        <f>SUM(E15:E15)</f>
        <v>595</v>
      </c>
      <c r="F14" s="427">
        <f>SUM(F15:F15)</f>
        <v>1344</v>
      </c>
      <c r="G14" s="428">
        <f>SUM(B14:F14)</f>
        <v>19994</v>
      </c>
    </row>
    <row r="15" spans="1:7" s="380" customFormat="1" ht="33" customHeight="1">
      <c r="A15" s="391" t="s">
        <v>504</v>
      </c>
      <c r="B15" s="390"/>
      <c r="C15" s="390"/>
      <c r="D15" s="387">
        <f>'40-41.各項費用彙計表(7級) '!G74</f>
        <v>18055</v>
      </c>
      <c r="E15" s="387">
        <f>'40-41.各項費用彙計表(7級) '!G75</f>
        <v>595</v>
      </c>
      <c r="F15" s="387">
        <f>'40-41.各項費用彙計表(7級) '!G76</f>
        <v>1344</v>
      </c>
      <c r="G15" s="388">
        <f>SUM(B15:F15)</f>
        <v>19994</v>
      </c>
    </row>
    <row r="16" spans="1:7" ht="33" customHeight="1">
      <c r="A16" s="100"/>
      <c r="B16" s="8"/>
      <c r="C16" s="8"/>
      <c r="D16" s="8"/>
      <c r="E16" s="8"/>
      <c r="F16" s="8"/>
      <c r="G16" s="19"/>
    </row>
    <row r="17" spans="1:7" ht="33" customHeight="1">
      <c r="A17" s="100"/>
      <c r="B17" s="8"/>
      <c r="C17" s="8"/>
      <c r="D17" s="8"/>
      <c r="E17" s="8"/>
      <c r="F17" s="8"/>
      <c r="G17" s="19"/>
    </row>
    <row r="18" spans="1:7" ht="33" customHeight="1">
      <c r="A18" s="100"/>
      <c r="B18" s="8"/>
      <c r="C18" s="8"/>
      <c r="D18" s="8"/>
      <c r="E18" s="8"/>
      <c r="F18" s="8"/>
      <c r="G18" s="19"/>
    </row>
    <row r="19" spans="1:7" ht="33" customHeight="1">
      <c r="A19" s="100"/>
      <c r="B19" s="8"/>
      <c r="C19" s="8"/>
      <c r="D19" s="8"/>
      <c r="E19" s="8"/>
      <c r="F19" s="8"/>
      <c r="G19" s="19"/>
    </row>
    <row r="20" spans="1:7" ht="33" customHeight="1">
      <c r="A20" s="100"/>
      <c r="B20" s="8"/>
      <c r="C20" s="8"/>
      <c r="D20" s="8"/>
      <c r="E20" s="8"/>
      <c r="F20" s="8"/>
      <c r="G20" s="19"/>
    </row>
    <row r="21" spans="1:7" ht="33" customHeight="1">
      <c r="A21" s="100"/>
      <c r="B21" s="8"/>
      <c r="C21" s="8"/>
      <c r="D21" s="8"/>
      <c r="E21" s="8"/>
      <c r="F21" s="8"/>
      <c r="G21" s="19"/>
    </row>
    <row r="22" spans="1:7" ht="33" customHeight="1">
      <c r="A22" s="100"/>
      <c r="B22" s="8"/>
      <c r="C22" s="8"/>
      <c r="D22" s="8"/>
      <c r="E22" s="8"/>
      <c r="F22" s="8"/>
      <c r="G22" s="19"/>
    </row>
    <row r="23" spans="1:7" ht="33" customHeight="1">
      <c r="A23" s="100"/>
      <c r="B23" s="8"/>
      <c r="C23" s="8"/>
      <c r="D23" s="8"/>
      <c r="E23" s="8"/>
      <c r="F23" s="8"/>
      <c r="G23" s="19"/>
    </row>
    <row r="24" spans="1:7" ht="33" customHeight="1">
      <c r="A24" s="100"/>
      <c r="B24" s="8"/>
      <c r="C24" s="8"/>
      <c r="D24" s="8"/>
      <c r="E24" s="8"/>
      <c r="F24" s="8"/>
      <c r="G24" s="19"/>
    </row>
    <row r="25" spans="1:7" ht="33" customHeight="1">
      <c r="A25" s="100"/>
      <c r="B25" s="8"/>
      <c r="C25" s="8"/>
      <c r="D25" s="8"/>
      <c r="E25" s="8"/>
      <c r="F25" s="8"/>
      <c r="G25" s="19"/>
    </row>
    <row r="26" spans="1:7" ht="51" customHeight="1" thickBot="1">
      <c r="A26" s="101"/>
      <c r="B26" s="26"/>
      <c r="C26" s="26"/>
      <c r="D26" s="26"/>
      <c r="E26" s="26"/>
      <c r="F26" s="26"/>
      <c r="G26" s="28"/>
    </row>
  </sheetData>
  <mergeCells count="7">
    <mergeCell ref="B12:G12"/>
    <mergeCell ref="B13:G13"/>
    <mergeCell ref="F5:G5"/>
    <mergeCell ref="A1:G1"/>
    <mergeCell ref="A2:G2"/>
    <mergeCell ref="A4:G4"/>
    <mergeCell ref="A3:G3"/>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&amp;C&amp;"Arial,標準"&amp;P</oddFooter>
  </headerFooter>
</worksheet>
</file>

<file path=xl/worksheets/sheet29.xml><?xml version="1.0" encoding="utf-8"?>
<worksheet xmlns="http://schemas.openxmlformats.org/spreadsheetml/2006/main" xmlns:r="http://schemas.openxmlformats.org/officeDocument/2006/relationships">
  <sheetPr codeName="Sheet32">
    <tabColor rgb="FFFFFFCC"/>
  </sheetPr>
  <dimension ref="A1:C39"/>
  <sheetViews>
    <sheetView topLeftCell="A13" workbookViewId="0">
      <selection activeCell="A27" sqref="A27"/>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49" customFormat="1" ht="24.6">
      <c r="A1" s="986" t="s">
        <v>223</v>
      </c>
      <c r="B1" s="1259"/>
      <c r="C1" s="1259"/>
    </row>
    <row r="2" spans="1:3" s="167" customFormat="1" ht="22.2">
      <c r="A2" s="987" t="s">
        <v>76</v>
      </c>
      <c r="B2" s="1260"/>
      <c r="C2" s="1260"/>
    </row>
    <row r="3" spans="1:3" s="167" customFormat="1" ht="22.2">
      <c r="A3" s="988" t="s">
        <v>178</v>
      </c>
      <c r="B3" s="1261"/>
      <c r="C3" s="1261"/>
    </row>
    <row r="4" spans="1:3" s="168" customFormat="1" ht="19.8">
      <c r="A4" s="1058" t="s">
        <v>1107</v>
      </c>
      <c r="B4" s="989"/>
      <c r="C4" s="989"/>
    </row>
    <row r="5" spans="1:3" ht="17.25" customHeight="1" thickBot="1">
      <c r="A5" s="3"/>
      <c r="B5" s="120"/>
      <c r="C5" s="11" t="s">
        <v>361</v>
      </c>
    </row>
    <row r="6" spans="1:3" s="107" customFormat="1" ht="42" customHeight="1">
      <c r="A6" s="289" t="s">
        <v>362</v>
      </c>
      <c r="B6" s="290" t="s">
        <v>363</v>
      </c>
      <c r="C6" s="291" t="s">
        <v>180</v>
      </c>
    </row>
    <row r="7" spans="1:3" ht="20.100000000000001" customHeight="1">
      <c r="A7" s="292" t="s">
        <v>181</v>
      </c>
      <c r="B7" s="122">
        <v>127203</v>
      </c>
      <c r="C7" s="173"/>
    </row>
    <row r="8" spans="1:3" ht="20.100000000000001" customHeight="1">
      <c r="A8" s="292" t="s">
        <v>182</v>
      </c>
      <c r="B8" s="121"/>
      <c r="C8" s="174"/>
    </row>
    <row r="9" spans="1:3" ht="20.100000000000001" customHeight="1">
      <c r="A9" s="292" t="s">
        <v>183</v>
      </c>
      <c r="B9" s="145">
        <v>0</v>
      </c>
      <c r="C9" s="174"/>
    </row>
    <row r="10" spans="1:3" ht="20.100000000000001" customHeight="1">
      <c r="A10" s="292"/>
      <c r="B10" s="121"/>
      <c r="C10" s="174"/>
    </row>
    <row r="11" spans="1:3" ht="20.100000000000001" customHeight="1">
      <c r="A11" s="292" t="s">
        <v>184</v>
      </c>
      <c r="B11" s="145">
        <v>0</v>
      </c>
      <c r="C11" s="174"/>
    </row>
    <row r="12" spans="1:3" ht="20.100000000000001" customHeight="1">
      <c r="A12" s="292"/>
      <c r="B12" s="121"/>
      <c r="C12" s="174"/>
    </row>
    <row r="13" spans="1:3" ht="20.100000000000001" customHeight="1">
      <c r="A13" s="292" t="s">
        <v>185</v>
      </c>
      <c r="B13" s="145">
        <v>0</v>
      </c>
      <c r="C13" s="174"/>
    </row>
    <row r="14" spans="1:3" ht="20.100000000000001" customHeight="1">
      <c r="A14" s="292"/>
      <c r="B14" s="121"/>
      <c r="C14" s="174"/>
    </row>
    <row r="15" spans="1:3" ht="20.100000000000001" customHeight="1">
      <c r="A15" s="292" t="s">
        <v>364</v>
      </c>
      <c r="B15" s="145">
        <v>0</v>
      </c>
      <c r="C15" s="174"/>
    </row>
    <row r="16" spans="1:3" ht="20.100000000000001" customHeight="1">
      <c r="A16" s="292"/>
      <c r="B16" s="121"/>
      <c r="C16" s="174"/>
    </row>
    <row r="17" spans="1:3" ht="20.100000000000001" customHeight="1">
      <c r="A17" s="292" t="s">
        <v>186</v>
      </c>
      <c r="B17" s="145">
        <v>0</v>
      </c>
      <c r="C17" s="174"/>
    </row>
    <row r="18" spans="1:3" ht="20.100000000000001" customHeight="1">
      <c r="A18" s="292"/>
      <c r="B18" s="145"/>
      <c r="C18" s="174"/>
    </row>
    <row r="19" spans="1:3" ht="20.100000000000001" customHeight="1">
      <c r="A19" s="292" t="s">
        <v>187</v>
      </c>
      <c r="B19" s="121"/>
      <c r="C19" s="174"/>
    </row>
    <row r="20" spans="1:3" ht="20.100000000000001" customHeight="1">
      <c r="A20" s="292" t="s">
        <v>188</v>
      </c>
      <c r="B20" s="145">
        <v>0</v>
      </c>
      <c r="C20" s="174"/>
    </row>
    <row r="21" spans="1:3" ht="20.100000000000001" customHeight="1">
      <c r="A21" s="292"/>
      <c r="B21" s="121"/>
      <c r="C21" s="174"/>
    </row>
    <row r="22" spans="1:3" ht="20.100000000000001" customHeight="1">
      <c r="A22" s="292" t="s">
        <v>1139</v>
      </c>
      <c r="B22" s="145">
        <v>0</v>
      </c>
      <c r="C22" s="174"/>
    </row>
    <row r="23" spans="1:3" ht="20.100000000000001" customHeight="1">
      <c r="A23" s="292"/>
      <c r="B23" s="121"/>
      <c r="C23" s="174"/>
    </row>
    <row r="24" spans="1:3" ht="20.100000000000001" customHeight="1">
      <c r="A24" s="292" t="s">
        <v>186</v>
      </c>
      <c r="B24" s="145">
        <v>0</v>
      </c>
      <c r="C24" s="174"/>
    </row>
    <row r="25" spans="1:3" ht="20.100000000000001" customHeight="1">
      <c r="A25" s="172"/>
      <c r="B25" s="121"/>
      <c r="C25" s="174"/>
    </row>
    <row r="26" spans="1:3" ht="20.100000000000001" customHeight="1">
      <c r="A26" s="172"/>
      <c r="B26" s="121"/>
      <c r="C26" s="174"/>
    </row>
    <row r="27" spans="1:3" ht="20.100000000000001" customHeight="1">
      <c r="A27" s="172"/>
      <c r="B27" s="121"/>
      <c r="C27" s="174"/>
    </row>
    <row r="28" spans="1:3" ht="20.100000000000001" customHeight="1">
      <c r="A28" s="172"/>
      <c r="B28" s="121"/>
      <c r="C28" s="174"/>
    </row>
    <row r="29" spans="1:3" ht="20.100000000000001" customHeight="1">
      <c r="A29" s="172"/>
      <c r="B29" s="121"/>
      <c r="C29" s="174"/>
    </row>
    <row r="30" spans="1:3" ht="20.100000000000001" customHeight="1">
      <c r="A30" s="172"/>
      <c r="B30" s="121"/>
      <c r="C30" s="174"/>
    </row>
    <row r="31" spans="1:3" ht="20.100000000000001" customHeight="1">
      <c r="A31" s="172"/>
      <c r="B31" s="121"/>
      <c r="C31" s="174"/>
    </row>
    <row r="32" spans="1:3" ht="20.100000000000001" customHeight="1">
      <c r="A32" s="172"/>
      <c r="B32" s="121"/>
      <c r="C32" s="174"/>
    </row>
    <row r="33" spans="1:3" ht="20.100000000000001" customHeight="1">
      <c r="A33" s="172"/>
      <c r="B33" s="121"/>
      <c r="C33" s="174"/>
    </row>
    <row r="34" spans="1:3" ht="20.100000000000001" customHeight="1">
      <c r="A34" s="172"/>
      <c r="B34" s="121"/>
      <c r="C34" s="174"/>
    </row>
    <row r="35" spans="1:3" ht="20.100000000000001" customHeight="1">
      <c r="A35" s="172"/>
      <c r="B35" s="121"/>
      <c r="C35" s="174"/>
    </row>
    <row r="36" spans="1:3" ht="20.100000000000001" customHeight="1">
      <c r="A36" s="172"/>
      <c r="B36" s="121"/>
      <c r="C36" s="174"/>
    </row>
    <row r="37" spans="1:3" ht="20.100000000000001" customHeight="1">
      <c r="A37" s="172"/>
      <c r="B37" s="121"/>
      <c r="C37" s="174"/>
    </row>
    <row r="38" spans="1:3" ht="15.6" customHeight="1">
      <c r="A38" s="172"/>
      <c r="B38" s="121"/>
      <c r="C38" s="174"/>
    </row>
    <row r="39" spans="1:3" ht="23.25" customHeight="1" thickBot="1">
      <c r="A39" s="293" t="s">
        <v>190</v>
      </c>
      <c r="B39" s="175">
        <f>B7+B9+B11+B13+B15+B17-B20-B22-B24</f>
        <v>127203</v>
      </c>
      <c r="C39" s="176"/>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5" orientation="portrait" useFirstPageNumber="1" r:id="rId1"/>
  <headerFooter scaleWithDoc="0" alignWithMargins="0">
    <oddFooter>&amp;C&amp;"Arial Unicode MS,標準"&amp;P</oddFooter>
  </headerFooter>
</worksheet>
</file>

<file path=xl/worksheets/sheet3.xml><?xml version="1.0" encoding="utf-8"?>
<worksheet xmlns="http://schemas.openxmlformats.org/spreadsheetml/2006/main" xmlns:r="http://schemas.openxmlformats.org/officeDocument/2006/relationships">
  <sheetPr codeName="Sheet4">
    <tabColor rgb="FFFFFFCC"/>
  </sheetPr>
  <dimension ref="A1:E106"/>
  <sheetViews>
    <sheetView topLeftCell="A25" zoomScaleNormal="100" workbookViewId="0">
      <selection activeCell="E38" sqref="E38"/>
    </sheetView>
  </sheetViews>
  <sheetFormatPr defaultColWidth="23.109375" defaultRowHeight="16.2"/>
  <cols>
    <col min="1" max="1" width="5.21875" customWidth="1"/>
    <col min="2" max="2" width="20.77734375" customWidth="1"/>
    <col min="3" max="3" width="19.33203125" customWidth="1"/>
    <col min="4" max="4" width="20.44140625" customWidth="1"/>
    <col min="5" max="5" width="18.77734375" customWidth="1"/>
  </cols>
  <sheetData>
    <row r="1" spans="1:5" s="1" customFormat="1" ht="24.6">
      <c r="B1" s="986" t="s">
        <v>237</v>
      </c>
      <c r="C1" s="986"/>
      <c r="D1" s="986"/>
      <c r="E1" s="986"/>
    </row>
    <row r="2" spans="1:5" s="1" customFormat="1" ht="22.2">
      <c r="B2" s="987" t="s">
        <v>238</v>
      </c>
      <c r="C2" s="987"/>
      <c r="D2" s="987"/>
      <c r="E2" s="987"/>
    </row>
    <row r="3" spans="1:5" s="1" customFormat="1" ht="22.2">
      <c r="B3" s="988" t="s">
        <v>253</v>
      </c>
      <c r="C3" s="988"/>
      <c r="D3" s="988"/>
      <c r="E3" s="988"/>
    </row>
    <row r="4" spans="1:5" s="1" customFormat="1" ht="19.5" customHeight="1">
      <c r="B4" s="989" t="s">
        <v>1022</v>
      </c>
      <c r="C4" s="989"/>
      <c r="D4" s="989"/>
      <c r="E4" s="989"/>
    </row>
    <row r="5" spans="1:5" s="1" customFormat="1" ht="19.5" customHeight="1">
      <c r="A5" s="5"/>
      <c r="B5" s="5"/>
      <c r="C5" s="5"/>
      <c r="D5" s="5"/>
      <c r="E5" s="5"/>
    </row>
    <row r="6" spans="1:5" s="1" customFormat="1" ht="22.2">
      <c r="B6" s="982" t="s">
        <v>1110</v>
      </c>
      <c r="C6" s="982"/>
      <c r="D6" s="982"/>
      <c r="E6" s="982"/>
    </row>
    <row r="7" spans="1:5" s="1" customFormat="1" ht="22.2">
      <c r="B7" s="995" t="s">
        <v>252</v>
      </c>
      <c r="C7" s="996"/>
      <c r="D7" s="996"/>
      <c r="E7" s="996"/>
    </row>
    <row r="8" spans="1:5" s="1" customFormat="1" ht="22.2">
      <c r="B8" s="184"/>
      <c r="C8" s="189"/>
      <c r="D8" s="189"/>
      <c r="E8" s="189"/>
    </row>
    <row r="9" spans="1:5" s="1" customFormat="1" ht="24.6">
      <c r="B9" s="993"/>
      <c r="C9" s="994"/>
      <c r="D9" s="994"/>
      <c r="E9" s="994"/>
    </row>
    <row r="10" spans="1:5" s="1" customFormat="1" ht="17.25" customHeight="1">
      <c r="B10" s="992"/>
      <c r="C10" s="992"/>
      <c r="D10" s="992"/>
      <c r="E10" s="992"/>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446"/>
      <c r="D21" s="446"/>
      <c r="E21" s="446"/>
    </row>
    <row r="22" spans="2:5" s="1" customFormat="1" ht="22.2">
      <c r="B22" s="990" t="s">
        <v>254</v>
      </c>
      <c r="C22" s="991"/>
      <c r="D22" s="991"/>
      <c r="E22" s="991"/>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239</v>
      </c>
    </row>
    <row r="37" spans="2:5" s="1" customFormat="1" ht="22.05" customHeight="1">
      <c r="B37" s="14" t="s">
        <v>255</v>
      </c>
      <c r="C37" s="14" t="s">
        <v>1108</v>
      </c>
      <c r="D37" s="14" t="s">
        <v>256</v>
      </c>
      <c r="E37" s="14" t="s">
        <v>1109</v>
      </c>
    </row>
    <row r="38" spans="2:5" s="1" customFormat="1" ht="22.05" customHeight="1">
      <c r="B38" s="918" t="s">
        <v>1111</v>
      </c>
      <c r="C38" s="919">
        <f>C39+C40</f>
        <v>23586</v>
      </c>
      <c r="D38" s="549" t="s">
        <v>1112</v>
      </c>
      <c r="E38" s="550">
        <f>C38</f>
        <v>23586</v>
      </c>
    </row>
    <row r="39" spans="2:5" s="1" customFormat="1" ht="22.05" customHeight="1">
      <c r="B39" s="917" t="s">
        <v>155</v>
      </c>
      <c r="C39" s="157">
        <v>20877</v>
      </c>
      <c r="D39" s="551"/>
      <c r="E39" s="157"/>
    </row>
    <row r="40" spans="2:5" s="1" customFormat="1" ht="22.05" customHeight="1">
      <c r="B40" s="917" t="s">
        <v>156</v>
      </c>
      <c r="C40" s="157">
        <v>2709</v>
      </c>
      <c r="D40" s="551"/>
      <c r="E40" s="157"/>
    </row>
    <row r="41" spans="2:5" s="1" customFormat="1" ht="22.05" customHeight="1">
      <c r="B41" s="2" t="s">
        <v>258</v>
      </c>
      <c r="C41" s="193">
        <f>SUM(C39:C40)</f>
        <v>23586</v>
      </c>
      <c r="D41" s="2" t="s">
        <v>259</v>
      </c>
      <c r="E41" s="193">
        <f>E38</f>
        <v>23586</v>
      </c>
    </row>
    <row r="42" spans="2:5" s="1" customFormat="1"/>
    <row r="43" spans="2:5" s="1" customFormat="1">
      <c r="B43" s="92" t="s">
        <v>155</v>
      </c>
      <c r="C43" s="505">
        <f>C39/$C$41</f>
        <v>0.88514372933095908</v>
      </c>
    </row>
    <row r="44" spans="2:5" s="1" customFormat="1" hidden="1">
      <c r="B44" s="92" t="s">
        <v>717</v>
      </c>
      <c r="C44" s="505" t="e">
        <f>#REF!/$C$41</f>
        <v>#REF!</v>
      </c>
    </row>
    <row r="45" spans="2:5" s="1" customFormat="1">
      <c r="B45" s="92" t="s">
        <v>156</v>
      </c>
      <c r="C45" s="505">
        <f>C40/$C$41</f>
        <v>0.11485627066904096</v>
      </c>
    </row>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row r="106" spans="2:5" s="1" customFormat="1">
      <c r="B106"/>
      <c r="C106"/>
      <c r="D106"/>
      <c r="E106"/>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98425196850393704" right="0.98425196850393704" top="0.59055118110236227" bottom="0.78740157480314965" header="0.51181102362204722" footer="0.51181102362204722"/>
  <pageSetup paperSize="9" firstPageNumber="10" orientation="portrait" useFirstPageNumber="1" r:id="rId1"/>
  <headerFooter scaleWithDoc="0" alignWithMargins="0">
    <oddFooter>&amp;C&amp;"Arial,標準"&amp;P</oddFooter>
  </headerFooter>
  <drawing r:id="rId2"/>
</worksheet>
</file>

<file path=xl/worksheets/sheet30.xml><?xml version="1.0" encoding="utf-8"?>
<worksheet xmlns="http://schemas.openxmlformats.org/spreadsheetml/2006/main" xmlns:r="http://schemas.openxmlformats.org/officeDocument/2006/relationships">
  <sheetPr codeName="Sheet33" enableFormatConditionsCalculation="0">
    <tabColor indexed="42"/>
  </sheetPr>
  <dimension ref="A1:C39"/>
  <sheetViews>
    <sheetView topLeftCell="A22" workbookViewId="0">
      <selection activeCell="A4" sqref="A4:C4"/>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49" customFormat="1" ht="24.6">
      <c r="A1" s="986" t="s">
        <v>505</v>
      </c>
      <c r="B1" s="1259"/>
      <c r="C1" s="1259"/>
    </row>
    <row r="2" spans="1:3" s="167" customFormat="1" ht="22.2">
      <c r="A2" s="987" t="s">
        <v>506</v>
      </c>
      <c r="B2" s="1260"/>
      <c r="C2" s="1260"/>
    </row>
    <row r="3" spans="1:3" s="167" customFormat="1" ht="22.2">
      <c r="A3" s="988" t="s">
        <v>178</v>
      </c>
      <c r="B3" s="1261"/>
      <c r="C3" s="1261"/>
    </row>
    <row r="4" spans="1:3" s="168" customFormat="1" ht="19.8">
      <c r="A4" s="1058" t="s">
        <v>976</v>
      </c>
      <c r="B4" s="989"/>
      <c r="C4" s="989"/>
    </row>
    <row r="5" spans="1:3" ht="17.25" customHeight="1" thickBot="1">
      <c r="A5" s="3"/>
      <c r="B5" s="120"/>
      <c r="C5" s="11" t="s">
        <v>507</v>
      </c>
    </row>
    <row r="6" spans="1:3" s="107" customFormat="1" ht="42" customHeight="1">
      <c r="A6" s="289" t="s">
        <v>508</v>
      </c>
      <c r="B6" s="290" t="s">
        <v>509</v>
      </c>
      <c r="C6" s="291" t="s">
        <v>180</v>
      </c>
    </row>
    <row r="7" spans="1:3" ht="20.100000000000001" customHeight="1">
      <c r="A7" s="292" t="s">
        <v>181</v>
      </c>
      <c r="B7" s="122">
        <v>127203</v>
      </c>
      <c r="C7" s="173"/>
    </row>
    <row r="8" spans="1:3" ht="20.100000000000001" customHeight="1">
      <c r="A8" s="292" t="s">
        <v>182</v>
      </c>
      <c r="B8" s="121"/>
      <c r="C8" s="174"/>
    </row>
    <row r="9" spans="1:3" ht="20.100000000000001" customHeight="1">
      <c r="A9" s="292" t="s">
        <v>183</v>
      </c>
      <c r="B9" s="145">
        <v>0</v>
      </c>
      <c r="C9" s="174"/>
    </row>
    <row r="10" spans="1:3" ht="20.100000000000001" customHeight="1">
      <c r="A10" s="292"/>
      <c r="B10" s="121"/>
      <c r="C10" s="174"/>
    </row>
    <row r="11" spans="1:3" ht="20.100000000000001" customHeight="1">
      <c r="A11" s="292" t="s">
        <v>184</v>
      </c>
      <c r="B11" s="145">
        <v>0</v>
      </c>
      <c r="C11" s="174"/>
    </row>
    <row r="12" spans="1:3" ht="20.100000000000001" customHeight="1">
      <c r="A12" s="292"/>
      <c r="B12" s="121"/>
      <c r="C12" s="174"/>
    </row>
    <row r="13" spans="1:3" ht="20.100000000000001" customHeight="1">
      <c r="A13" s="292" t="s">
        <v>185</v>
      </c>
      <c r="B13" s="145">
        <v>0</v>
      </c>
      <c r="C13" s="174"/>
    </row>
    <row r="14" spans="1:3" ht="20.100000000000001" customHeight="1">
      <c r="A14" s="292"/>
      <c r="B14" s="121"/>
      <c r="C14" s="174"/>
    </row>
    <row r="15" spans="1:3" ht="20.100000000000001" customHeight="1">
      <c r="A15" s="292" t="s">
        <v>510</v>
      </c>
      <c r="B15" s="145">
        <v>0</v>
      </c>
      <c r="C15" s="174"/>
    </row>
    <row r="16" spans="1:3" ht="20.100000000000001" customHeight="1">
      <c r="A16" s="292"/>
      <c r="B16" s="121"/>
      <c r="C16" s="174"/>
    </row>
    <row r="17" spans="1:3" ht="20.100000000000001" customHeight="1">
      <c r="A17" s="292" t="s">
        <v>186</v>
      </c>
      <c r="B17" s="145">
        <v>0</v>
      </c>
      <c r="C17" s="174"/>
    </row>
    <row r="18" spans="1:3" ht="20.100000000000001" customHeight="1">
      <c r="A18" s="292"/>
      <c r="B18" s="145"/>
      <c r="C18" s="174"/>
    </row>
    <row r="19" spans="1:3" ht="20.100000000000001" customHeight="1">
      <c r="A19" s="292" t="s">
        <v>187</v>
      </c>
      <c r="B19" s="121"/>
      <c r="C19" s="174"/>
    </row>
    <row r="20" spans="1:3" ht="20.100000000000001" customHeight="1">
      <c r="A20" s="292" t="s">
        <v>188</v>
      </c>
      <c r="B20" s="145">
        <v>0</v>
      </c>
      <c r="C20" s="174"/>
    </row>
    <row r="21" spans="1:3" ht="20.100000000000001" customHeight="1">
      <c r="A21" s="292"/>
      <c r="B21" s="121"/>
      <c r="C21" s="174"/>
    </row>
    <row r="22" spans="1:3" ht="20.100000000000001" customHeight="1">
      <c r="A22" s="292" t="s">
        <v>189</v>
      </c>
      <c r="B22" s="145">
        <v>0</v>
      </c>
      <c r="C22" s="174"/>
    </row>
    <row r="23" spans="1:3" ht="20.100000000000001" customHeight="1">
      <c r="A23" s="292"/>
      <c r="B23" s="121"/>
      <c r="C23" s="174"/>
    </row>
    <row r="24" spans="1:3" ht="20.100000000000001" customHeight="1">
      <c r="A24" s="292" t="s">
        <v>186</v>
      </c>
      <c r="B24" s="145">
        <v>0</v>
      </c>
      <c r="C24" s="174"/>
    </row>
    <row r="25" spans="1:3" ht="20.100000000000001" customHeight="1">
      <c r="A25" s="172"/>
      <c r="B25" s="121"/>
      <c r="C25" s="174"/>
    </row>
    <row r="26" spans="1:3" ht="20.100000000000001" customHeight="1">
      <c r="A26" s="172"/>
      <c r="B26" s="121"/>
      <c r="C26" s="174"/>
    </row>
    <row r="27" spans="1:3" ht="20.100000000000001" customHeight="1">
      <c r="A27" s="172"/>
      <c r="B27" s="121"/>
      <c r="C27" s="174"/>
    </row>
    <row r="28" spans="1:3" ht="20.100000000000001" customHeight="1">
      <c r="A28" s="172"/>
      <c r="B28" s="121"/>
      <c r="C28" s="174"/>
    </row>
    <row r="29" spans="1:3" ht="20.100000000000001" customHeight="1">
      <c r="A29" s="172"/>
      <c r="B29" s="121"/>
      <c r="C29" s="174"/>
    </row>
    <row r="30" spans="1:3" ht="20.100000000000001" customHeight="1">
      <c r="A30" s="172"/>
      <c r="B30" s="121"/>
      <c r="C30" s="174"/>
    </row>
    <row r="31" spans="1:3" ht="20.100000000000001" customHeight="1">
      <c r="A31" s="172"/>
      <c r="B31" s="121"/>
      <c r="C31" s="174"/>
    </row>
    <row r="32" spans="1:3" ht="20.100000000000001" customHeight="1">
      <c r="A32" s="172"/>
      <c r="B32" s="121"/>
      <c r="C32" s="174"/>
    </row>
    <row r="33" spans="1:3" ht="20.100000000000001" customHeight="1">
      <c r="A33" s="172"/>
      <c r="B33" s="121"/>
      <c r="C33" s="174"/>
    </row>
    <row r="34" spans="1:3" ht="20.100000000000001" customHeight="1">
      <c r="A34" s="172"/>
      <c r="B34" s="121"/>
      <c r="C34" s="174"/>
    </row>
    <row r="35" spans="1:3" ht="20.100000000000001" customHeight="1">
      <c r="A35" s="172"/>
      <c r="B35" s="121"/>
      <c r="C35" s="174"/>
    </row>
    <row r="36" spans="1:3" ht="20.100000000000001" customHeight="1">
      <c r="A36" s="172"/>
      <c r="B36" s="121"/>
      <c r="C36" s="174"/>
    </row>
    <row r="37" spans="1:3" ht="20.100000000000001" customHeight="1">
      <c r="A37" s="172"/>
      <c r="B37" s="121"/>
      <c r="C37" s="174"/>
    </row>
    <row r="38" spans="1:3" ht="13.2" customHeight="1">
      <c r="A38" s="172"/>
      <c r="B38" s="121"/>
      <c r="C38" s="174"/>
    </row>
    <row r="39" spans="1:3" ht="23.25" customHeight="1" thickBot="1">
      <c r="A39" s="293" t="s">
        <v>190</v>
      </c>
      <c r="B39" s="175">
        <f>B7+B9+B11+B13+B15+B17-B20-B22-B24</f>
        <v>127203</v>
      </c>
      <c r="C39" s="176"/>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1" orientation="portrait" useFirstPageNumber="1" r:id="rId1"/>
  <headerFooter alignWithMargins="0">
    <oddFooter>&amp;C&amp;"Arial,標準"&amp;P</oddFooter>
  </headerFooter>
</worksheet>
</file>

<file path=xl/worksheets/sheet31.xml><?xml version="1.0" encoding="utf-8"?>
<worksheet xmlns="http://schemas.openxmlformats.org/spreadsheetml/2006/main" xmlns:r="http://schemas.openxmlformats.org/officeDocument/2006/relationships">
  <sheetPr codeName="Sheet34"/>
  <dimension ref="A16:I16"/>
  <sheetViews>
    <sheetView zoomScale="50" workbookViewId="0">
      <selection activeCell="S35" sqref="S35"/>
    </sheetView>
  </sheetViews>
  <sheetFormatPr defaultColWidth="9" defaultRowHeight="16.2"/>
  <cols>
    <col min="1" max="8" width="9" style="1"/>
    <col min="9" max="9" width="14.109375" style="1" customWidth="1"/>
    <col min="10" max="16384" width="9" style="1"/>
  </cols>
  <sheetData>
    <row r="16" spans="1:9" ht="49.8">
      <c r="A16" s="1000" t="s">
        <v>702</v>
      </c>
      <c r="B16" s="1000"/>
      <c r="C16" s="1000"/>
      <c r="D16" s="1000"/>
      <c r="E16" s="1000"/>
      <c r="F16" s="1000"/>
      <c r="G16" s="1000"/>
      <c r="H16" s="1000"/>
      <c r="I16" s="1000"/>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36" orientation="portrait" useFirstPageNumber="1" r:id="rId1"/>
  <headerFooter alignWithMargins="0">
    <oddFooter>&amp;C&amp;"Arial,標準"&amp;P</oddFooter>
  </headerFooter>
</worksheet>
</file>

<file path=xl/worksheets/sheet32.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ColWidth="9" defaultRowHeight="16.2"/>
  <cols>
    <col min="1" max="8" width="9" style="1"/>
    <col min="9" max="9" width="14.109375" style="1" customWidth="1"/>
    <col min="10" max="16384" width="9" style="1"/>
  </cols>
  <sheetData>
    <row r="16" spans="1:9" ht="49.8">
      <c r="A16" s="1000" t="s">
        <v>377</v>
      </c>
      <c r="B16" s="1000"/>
      <c r="C16" s="1000"/>
      <c r="D16" s="1000"/>
      <c r="E16" s="1000"/>
      <c r="F16" s="1000"/>
      <c r="G16" s="1000"/>
      <c r="H16" s="1000"/>
      <c r="I16" s="1000"/>
    </row>
  </sheetData>
  <mergeCells count="1">
    <mergeCell ref="A16:I16"/>
  </mergeCells>
  <phoneticPr fontId="14"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36"/>
  <dimension ref="A16:I16"/>
  <sheetViews>
    <sheetView zoomScale="50" workbookViewId="0">
      <selection activeCell="V38" sqref="V38"/>
    </sheetView>
  </sheetViews>
  <sheetFormatPr defaultColWidth="9" defaultRowHeight="16.2"/>
  <cols>
    <col min="1" max="8" width="9" style="1"/>
    <col min="9" max="9" width="14.109375" style="1" customWidth="1"/>
    <col min="10" max="16384" width="9" style="1"/>
  </cols>
  <sheetData>
    <row r="16" spans="1:9" ht="49.8">
      <c r="A16" s="1000" t="s">
        <v>393</v>
      </c>
      <c r="B16" s="1000"/>
      <c r="C16" s="1000"/>
      <c r="D16" s="1000"/>
      <c r="E16" s="1000"/>
      <c r="F16" s="1000"/>
      <c r="G16" s="1000"/>
      <c r="H16" s="1000"/>
      <c r="I16" s="1000"/>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ColWidth="9" defaultRowHeight="16.2"/>
  <cols>
    <col min="1" max="8" width="9" style="1"/>
    <col min="9" max="9" width="14.109375" style="1" customWidth="1"/>
    <col min="10" max="16384" width="9" style="1"/>
  </cols>
  <sheetData>
    <row r="16" spans="1:9" ht="49.8">
      <c r="A16" s="1000" t="s">
        <v>539</v>
      </c>
      <c r="B16" s="1000"/>
      <c r="C16" s="1000"/>
      <c r="D16" s="1000"/>
      <c r="E16" s="1000"/>
      <c r="F16" s="1000"/>
      <c r="G16" s="1000"/>
      <c r="H16" s="1000"/>
      <c r="I16" s="1000"/>
    </row>
  </sheetData>
  <mergeCells count="1">
    <mergeCell ref="A16:I16"/>
  </mergeCells>
  <phoneticPr fontId="14"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35.xml><?xml version="1.0" encoding="utf-8"?>
<worksheet xmlns="http://schemas.openxmlformats.org/spreadsheetml/2006/main" xmlns:r="http://schemas.openxmlformats.org/officeDocument/2006/relationships">
  <sheetPr codeName="Sheet39" enableFormatConditionsCalculation="0"/>
  <dimension ref="A1:J37"/>
  <sheetViews>
    <sheetView view="pageBreakPreview" zoomScaleNormal="100" workbookViewId="0">
      <selection activeCell="A22" sqref="A22"/>
    </sheetView>
  </sheetViews>
  <sheetFormatPr defaultColWidth="9" defaultRowHeight="16.2"/>
  <cols>
    <col min="1" max="1" width="14.6640625" style="94" customWidth="1"/>
    <col min="2" max="2" width="29.21875" style="41" customWidth="1"/>
    <col min="3" max="3" width="16" style="94" customWidth="1"/>
    <col min="4" max="4" width="15.88671875" style="41" customWidth="1"/>
    <col min="5" max="5" width="15.77734375" style="94" customWidth="1"/>
    <col min="6" max="6" width="14.6640625" style="94" customWidth="1"/>
    <col min="7" max="7" width="29.21875" style="41" customWidth="1"/>
    <col min="8" max="8" width="16" style="94" customWidth="1"/>
    <col min="9" max="9" width="15.88671875" style="41" customWidth="1"/>
    <col min="10" max="10" width="15.77734375" style="94" customWidth="1"/>
    <col min="11" max="16384" width="9" style="41"/>
  </cols>
  <sheetData>
    <row r="1" spans="1:10" ht="24.6">
      <c r="A1" s="1268" t="s">
        <v>543</v>
      </c>
      <c r="B1" s="1268"/>
      <c r="C1" s="1268"/>
      <c r="D1" s="1268"/>
      <c r="E1" s="1268"/>
      <c r="F1" s="1264" t="s">
        <v>542</v>
      </c>
      <c r="G1" s="1264"/>
      <c r="H1" s="1264"/>
      <c r="I1" s="1264"/>
      <c r="J1" s="1264"/>
    </row>
    <row r="2" spans="1:10" ht="22.2">
      <c r="A2" s="1267" t="s">
        <v>545</v>
      </c>
      <c r="B2" s="1267"/>
      <c r="C2" s="1267"/>
      <c r="D2" s="1267"/>
      <c r="E2" s="1267"/>
      <c r="F2" s="1265" t="s">
        <v>544</v>
      </c>
      <c r="G2" s="1265"/>
      <c r="H2" s="1265"/>
      <c r="I2" s="1265"/>
      <c r="J2" s="1265"/>
    </row>
    <row r="3" spans="1:10" ht="22.2">
      <c r="A3" s="1269" t="s">
        <v>541</v>
      </c>
      <c r="B3" s="1269"/>
      <c r="C3" s="1269"/>
      <c r="D3" s="1269"/>
      <c r="E3" s="1269"/>
      <c r="F3" s="1266" t="s">
        <v>540</v>
      </c>
      <c r="G3" s="1266"/>
      <c r="H3" s="1266"/>
      <c r="I3" s="1266"/>
      <c r="J3" s="1266"/>
    </row>
    <row r="4" spans="1:10" s="268" customFormat="1" ht="19.8">
      <c r="A4" s="1263" t="s">
        <v>821</v>
      </c>
      <c r="B4" s="1263"/>
      <c r="C4" s="1263"/>
      <c r="D4" s="1263"/>
      <c r="E4" s="1263"/>
      <c r="F4" s="506" t="s">
        <v>546</v>
      </c>
      <c r="G4" s="506"/>
      <c r="H4" s="506"/>
      <c r="I4" s="506"/>
      <c r="J4" s="506"/>
    </row>
    <row r="5" spans="1:10" ht="16.8" thickBot="1">
      <c r="A5" s="1262" t="s">
        <v>647</v>
      </c>
      <c r="B5" s="1262"/>
      <c r="C5" s="1262"/>
      <c r="D5" s="1262"/>
      <c r="E5" s="1262"/>
      <c r="F5" s="1262"/>
      <c r="G5" s="1262"/>
      <c r="H5" s="1262"/>
      <c r="I5" s="1262"/>
      <c r="J5" s="1262"/>
    </row>
    <row r="6" spans="1:10" ht="42" customHeight="1">
      <c r="A6" s="502" t="s">
        <v>823</v>
      </c>
      <c r="B6" s="487" t="s">
        <v>368</v>
      </c>
      <c r="C6" s="503" t="s">
        <v>833</v>
      </c>
      <c r="D6" s="503" t="s">
        <v>834</v>
      </c>
      <c r="E6" s="504" t="s">
        <v>367</v>
      </c>
      <c r="F6" s="502" t="s">
        <v>835</v>
      </c>
      <c r="G6" s="487" t="s">
        <v>368</v>
      </c>
      <c r="H6" s="503" t="s">
        <v>833</v>
      </c>
      <c r="I6" s="503" t="s">
        <v>834</v>
      </c>
      <c r="J6" s="504" t="s">
        <v>367</v>
      </c>
    </row>
    <row r="7" spans="1:10" s="96" customFormat="1" ht="20.100000000000001" customHeight="1">
      <c r="A7" s="488">
        <f>A8+A17+A30+A34</f>
        <v>427531.6</v>
      </c>
      <c r="B7" s="447" t="s">
        <v>434</v>
      </c>
      <c r="C7" s="429">
        <f>C8+C17+C30+C34</f>
        <v>437430</v>
      </c>
      <c r="D7" s="429">
        <f>D8+D17+D30+D34</f>
        <v>427638</v>
      </c>
      <c r="E7" s="489">
        <f>E8+E17+E30+E34</f>
        <v>9792</v>
      </c>
      <c r="F7" s="495">
        <f>F8+F18</f>
        <v>248564</v>
      </c>
      <c r="G7" s="448" t="s">
        <v>435</v>
      </c>
      <c r="H7" s="357">
        <f>H8+H18</f>
        <v>247670</v>
      </c>
      <c r="I7" s="357">
        <f>I8+I18</f>
        <v>245580</v>
      </c>
      <c r="J7" s="430">
        <f>J8+J18</f>
        <v>2090</v>
      </c>
    </row>
    <row r="8" spans="1:10" s="96" customFormat="1" ht="20.100000000000001" customHeight="1">
      <c r="A8" s="372">
        <f>A9+A14+A11</f>
        <v>345538</v>
      </c>
      <c r="B8" s="241" t="s">
        <v>136</v>
      </c>
      <c r="C8" s="241">
        <f>C9+C14+C11</f>
        <v>371492</v>
      </c>
      <c r="D8" s="241">
        <f>D9+D14+D11</f>
        <v>350392</v>
      </c>
      <c r="E8" s="254">
        <f>E9+E14+E11</f>
        <v>21100</v>
      </c>
      <c r="F8" s="372">
        <f>F9+F15</f>
        <v>229099</v>
      </c>
      <c r="G8" s="241" t="s">
        <v>177</v>
      </c>
      <c r="H8" s="241">
        <f>H9+H15</f>
        <v>228170</v>
      </c>
      <c r="I8" s="241">
        <f>I9+I15</f>
        <v>225580</v>
      </c>
      <c r="J8" s="254">
        <f>J9+J15</f>
        <v>2590</v>
      </c>
    </row>
    <row r="9" spans="1:10" s="96" customFormat="1" ht="20.100000000000001" customHeight="1">
      <c r="A9" s="372">
        <f>A10</f>
        <v>334812</v>
      </c>
      <c r="B9" s="241" t="s">
        <v>171</v>
      </c>
      <c r="C9" s="241">
        <f>C10</f>
        <v>360128</v>
      </c>
      <c r="D9" s="241">
        <f>D10</f>
        <v>340092</v>
      </c>
      <c r="E9" s="254">
        <f>E10</f>
        <v>20036</v>
      </c>
      <c r="F9" s="372">
        <f>SUM(F10:F14)</f>
        <v>114099</v>
      </c>
      <c r="G9" s="241" t="s">
        <v>365</v>
      </c>
      <c r="H9" s="241">
        <f>SUM(H10:H14)</f>
        <v>118170</v>
      </c>
      <c r="I9" s="241">
        <f>SUM(I10:I14)</f>
        <v>115580</v>
      </c>
      <c r="J9" s="254">
        <f>SUM(J10:J14)</f>
        <v>2590</v>
      </c>
    </row>
    <row r="10" spans="1:10" ht="22.05" customHeight="1">
      <c r="A10" s="490">
        <v>334812</v>
      </c>
      <c r="B10" s="253" t="s">
        <v>165</v>
      </c>
      <c r="C10" s="253">
        <v>360128</v>
      </c>
      <c r="D10" s="253">
        <v>340092</v>
      </c>
      <c r="E10" s="254">
        <f>C10-D10</f>
        <v>20036</v>
      </c>
      <c r="F10" s="496">
        <v>129</v>
      </c>
      <c r="G10" s="203" t="s">
        <v>521</v>
      </c>
      <c r="H10" s="241">
        <v>170</v>
      </c>
      <c r="I10" s="241">
        <v>170</v>
      </c>
      <c r="J10" s="254">
        <f>H10-I10</f>
        <v>0</v>
      </c>
    </row>
    <row r="11" spans="1:10" s="96" customFormat="1" ht="20.100000000000001" customHeight="1">
      <c r="A11" s="372">
        <f>A12+A13</f>
        <v>1348</v>
      </c>
      <c r="B11" s="241" t="s">
        <v>511</v>
      </c>
      <c r="C11" s="241">
        <f>C12+C13</f>
        <v>1364</v>
      </c>
      <c r="D11" s="241">
        <f>D12+D13</f>
        <v>1800</v>
      </c>
      <c r="E11" s="254">
        <f>E12+E13</f>
        <v>-436</v>
      </c>
      <c r="F11" s="496">
        <v>11781</v>
      </c>
      <c r="G11" s="203" t="s">
        <v>522</v>
      </c>
      <c r="H11" s="241">
        <v>14000</v>
      </c>
      <c r="I11" s="241">
        <v>13410</v>
      </c>
      <c r="J11" s="254">
        <f>H11-I11</f>
        <v>590</v>
      </c>
    </row>
    <row r="12" spans="1:10" ht="22.05" customHeight="1">
      <c r="A12" s="490">
        <v>44</v>
      </c>
      <c r="B12" s="253" t="s">
        <v>512</v>
      </c>
      <c r="C12" s="241">
        <v>60</v>
      </c>
      <c r="D12" s="241">
        <v>50</v>
      </c>
      <c r="E12" s="254">
        <f>C12-D12</f>
        <v>10</v>
      </c>
      <c r="F12" s="496">
        <v>97462</v>
      </c>
      <c r="G12" s="203" t="s">
        <v>523</v>
      </c>
      <c r="H12" s="241">
        <v>101000</v>
      </c>
      <c r="I12" s="241">
        <v>100000</v>
      </c>
      <c r="J12" s="254">
        <f>H12-I12</f>
        <v>1000</v>
      </c>
    </row>
    <row r="13" spans="1:10" ht="22.05" customHeight="1">
      <c r="A13" s="490">
        <v>1304</v>
      </c>
      <c r="B13" s="253" t="s">
        <v>513</v>
      </c>
      <c r="C13" s="241">
        <v>1304</v>
      </c>
      <c r="D13" s="241">
        <v>1750</v>
      </c>
      <c r="E13" s="254">
        <f>C13-D13</f>
        <v>-446</v>
      </c>
      <c r="F13" s="496"/>
      <c r="G13" s="203" t="s">
        <v>524</v>
      </c>
      <c r="H13" s="241">
        <v>0</v>
      </c>
      <c r="I13" s="241">
        <v>0</v>
      </c>
      <c r="J13" s="254">
        <f>H13-I13</f>
        <v>0</v>
      </c>
    </row>
    <row r="14" spans="1:10" s="96" customFormat="1" ht="20.100000000000001" customHeight="1">
      <c r="A14" s="372">
        <f>A15</f>
        <v>9378</v>
      </c>
      <c r="B14" s="241" t="s">
        <v>172</v>
      </c>
      <c r="C14" s="241">
        <f>C15</f>
        <v>10000</v>
      </c>
      <c r="D14" s="241">
        <f>D15</f>
        <v>8500</v>
      </c>
      <c r="E14" s="254">
        <f>E15</f>
        <v>1500</v>
      </c>
      <c r="F14" s="496">
        <v>4727</v>
      </c>
      <c r="G14" s="203" t="s">
        <v>525</v>
      </c>
      <c r="H14" s="241">
        <v>3000</v>
      </c>
      <c r="I14" s="241">
        <v>2000</v>
      </c>
      <c r="J14" s="254">
        <f>H14-I14</f>
        <v>1000</v>
      </c>
    </row>
    <row r="15" spans="1:10" ht="22.05" customHeight="1">
      <c r="A15" s="490">
        <v>9378</v>
      </c>
      <c r="B15" s="253" t="s">
        <v>173</v>
      </c>
      <c r="C15" s="253">
        <v>10000</v>
      </c>
      <c r="D15" s="253">
        <v>8500</v>
      </c>
      <c r="E15" s="254">
        <f>C15-D15</f>
        <v>1500</v>
      </c>
      <c r="F15" s="372">
        <f>SUM(F16:F16)</f>
        <v>115000</v>
      </c>
      <c r="G15" s="241" t="s">
        <v>366</v>
      </c>
      <c r="H15" s="241">
        <f>SUM(H16:H16)</f>
        <v>110000</v>
      </c>
      <c r="I15" s="241">
        <f>SUM(I16:I16)</f>
        <v>110000</v>
      </c>
      <c r="J15" s="254">
        <f>SUM(J16:J16)</f>
        <v>0</v>
      </c>
    </row>
    <row r="16" spans="1:10" ht="23.1" customHeight="1">
      <c r="A16" s="490"/>
      <c r="B16" s="253"/>
      <c r="C16" s="253"/>
      <c r="D16" s="253"/>
      <c r="E16" s="254"/>
      <c r="F16" s="496">
        <v>115000</v>
      </c>
      <c r="G16" s="203" t="s">
        <v>526</v>
      </c>
      <c r="H16" s="203">
        <v>110000</v>
      </c>
      <c r="I16" s="203">
        <v>110000</v>
      </c>
      <c r="J16" s="254">
        <f>H16-I16</f>
        <v>0</v>
      </c>
    </row>
    <row r="17" spans="1:10" s="96" customFormat="1" ht="20.100000000000001" customHeight="1">
      <c r="A17" s="372">
        <f>A18+A21+A25+A28</f>
        <v>44219.3</v>
      </c>
      <c r="B17" s="241" t="s">
        <v>135</v>
      </c>
      <c r="C17" s="241">
        <f>C18+C21+C25+C28</f>
        <v>42324</v>
      </c>
      <c r="D17" s="241">
        <f>D18+D21+D25+D28</f>
        <v>42669</v>
      </c>
      <c r="E17" s="254">
        <f>E18+E21+E25+E28</f>
        <v>-345</v>
      </c>
      <c r="F17" s="496"/>
      <c r="G17" s="203"/>
      <c r="H17" s="203"/>
      <c r="I17" s="203"/>
      <c r="J17" s="254"/>
    </row>
    <row r="18" spans="1:10" s="96" customFormat="1" ht="20.100000000000001" customHeight="1">
      <c r="A18" s="372">
        <f>A19-A20</f>
        <v>39251</v>
      </c>
      <c r="B18" s="452" t="s">
        <v>514</v>
      </c>
      <c r="C18" s="241">
        <f>C19-C20</f>
        <v>40084</v>
      </c>
      <c r="D18" s="241">
        <f>D19-D20</f>
        <v>39949</v>
      </c>
      <c r="E18" s="254">
        <f>E19-E20</f>
        <v>135</v>
      </c>
      <c r="F18" s="372">
        <f>F19</f>
        <v>19465</v>
      </c>
      <c r="G18" s="241" t="s">
        <v>527</v>
      </c>
      <c r="H18" s="241">
        <f>H19</f>
        <v>19500</v>
      </c>
      <c r="I18" s="241">
        <f>I19</f>
        <v>20000</v>
      </c>
      <c r="J18" s="254">
        <f>J19</f>
        <v>-500</v>
      </c>
    </row>
    <row r="19" spans="1:10" s="460" customFormat="1" ht="20.100000000000001" customHeight="1">
      <c r="A19" s="491">
        <v>151370</v>
      </c>
      <c r="B19" s="461" t="s">
        <v>514</v>
      </c>
      <c r="C19" s="459">
        <v>186783</v>
      </c>
      <c r="D19" s="459">
        <v>170268</v>
      </c>
      <c r="E19" s="254">
        <f>C19-D19</f>
        <v>16515</v>
      </c>
      <c r="F19" s="372">
        <f>F20+F21</f>
        <v>19465</v>
      </c>
      <c r="G19" s="241" t="s">
        <v>528</v>
      </c>
      <c r="H19" s="241">
        <f>H20+H21</f>
        <v>19500</v>
      </c>
      <c r="I19" s="241">
        <f>I20+I21</f>
        <v>20000</v>
      </c>
      <c r="J19" s="254">
        <f>J20+J21</f>
        <v>-500</v>
      </c>
    </row>
    <row r="20" spans="1:10" s="455" customFormat="1" ht="34.5" customHeight="1">
      <c r="A20" s="492">
        <v>112119</v>
      </c>
      <c r="B20" s="454" t="s">
        <v>515</v>
      </c>
      <c r="C20" s="552">
        <v>146699</v>
      </c>
      <c r="D20" s="552">
        <v>130319</v>
      </c>
      <c r="E20" s="254">
        <f>C20-D20</f>
        <v>16380</v>
      </c>
      <c r="F20" s="496">
        <v>11819</v>
      </c>
      <c r="G20" s="203" t="s">
        <v>529</v>
      </c>
      <c r="H20" s="241">
        <v>11000</v>
      </c>
      <c r="I20" s="241">
        <v>12000</v>
      </c>
      <c r="J20" s="254">
        <f>H20-I20</f>
        <v>-1000</v>
      </c>
    </row>
    <row r="21" spans="1:10" s="96" customFormat="1" ht="20.100000000000001" customHeight="1">
      <c r="A21" s="372">
        <f>A22-A23</f>
        <v>3065</v>
      </c>
      <c r="B21" s="452" t="s">
        <v>257</v>
      </c>
      <c r="C21" s="241">
        <f>C22-C23</f>
        <v>1045</v>
      </c>
      <c r="D21" s="241">
        <f>D22-D23</f>
        <v>2065</v>
      </c>
      <c r="E21" s="254">
        <f>E22-E23</f>
        <v>-1020</v>
      </c>
      <c r="F21" s="496">
        <v>7646</v>
      </c>
      <c r="G21" s="203" t="s">
        <v>530</v>
      </c>
      <c r="H21" s="241">
        <v>8500</v>
      </c>
      <c r="I21" s="241">
        <v>8000</v>
      </c>
      <c r="J21" s="254">
        <f>H21-I21</f>
        <v>500</v>
      </c>
    </row>
    <row r="22" spans="1:10" s="460" customFormat="1" ht="20.100000000000001" customHeight="1">
      <c r="A22" s="493">
        <v>12715</v>
      </c>
      <c r="B22" s="457" t="s">
        <v>257</v>
      </c>
      <c r="C22" s="458">
        <v>12715</v>
      </c>
      <c r="D22" s="458">
        <v>12715</v>
      </c>
      <c r="E22" s="254">
        <f>C22-D22</f>
        <v>0</v>
      </c>
      <c r="F22" s="496"/>
      <c r="G22" s="203"/>
      <c r="H22" s="241"/>
      <c r="I22" s="241"/>
      <c r="J22" s="254"/>
    </row>
    <row r="23" spans="1:10" s="455" customFormat="1" ht="36" customHeight="1">
      <c r="A23" s="494">
        <v>9650</v>
      </c>
      <c r="B23" s="454" t="s">
        <v>672</v>
      </c>
      <c r="C23" s="456">
        <v>11670</v>
      </c>
      <c r="D23" s="456">
        <v>10650</v>
      </c>
      <c r="E23" s="254">
        <f>C23-D23</f>
        <v>1020</v>
      </c>
      <c r="F23" s="496"/>
      <c r="G23" s="203"/>
      <c r="H23" s="241"/>
      <c r="I23" s="241"/>
      <c r="J23" s="254"/>
    </row>
    <row r="24" spans="1:10" s="455" customFormat="1" ht="23.1" hidden="1" customHeight="1">
      <c r="A24" s="494"/>
      <c r="B24" s="454"/>
      <c r="C24" s="456"/>
      <c r="D24" s="456"/>
      <c r="E24" s="254"/>
      <c r="F24" s="496"/>
      <c r="G24" s="203"/>
      <c r="H24" s="241"/>
      <c r="I24" s="241"/>
      <c r="J24" s="254"/>
    </row>
    <row r="25" spans="1:10" s="96" customFormat="1" ht="20.100000000000001" customHeight="1">
      <c r="A25" s="372">
        <f>A26-A27</f>
        <v>1903.2999999999993</v>
      </c>
      <c r="B25" s="452" t="s">
        <v>516</v>
      </c>
      <c r="C25" s="241">
        <f>C26-C27</f>
        <v>1195</v>
      </c>
      <c r="D25" s="241">
        <f>D26-D27</f>
        <v>655</v>
      </c>
      <c r="E25" s="254">
        <f>E26-E27</f>
        <v>540</v>
      </c>
      <c r="F25" s="495">
        <f>F26+F30+F34</f>
        <v>178968</v>
      </c>
      <c r="G25" s="448" t="s">
        <v>445</v>
      </c>
      <c r="H25" s="357">
        <f>H26+H30+H34</f>
        <v>189760</v>
      </c>
      <c r="I25" s="357">
        <f>I26+I30+I34</f>
        <v>182058</v>
      </c>
      <c r="J25" s="357">
        <f>J26+J30+J34</f>
        <v>7702</v>
      </c>
    </row>
    <row r="26" spans="1:10" ht="20.100000000000001" customHeight="1">
      <c r="A26" s="490">
        <v>25650</v>
      </c>
      <c r="B26" s="453" t="s">
        <v>516</v>
      </c>
      <c r="C26" s="253">
        <v>28642</v>
      </c>
      <c r="D26" s="253">
        <v>25902</v>
      </c>
      <c r="E26" s="254">
        <f>C26-D26</f>
        <v>2740</v>
      </c>
      <c r="F26" s="372">
        <f>F27</f>
        <v>127203</v>
      </c>
      <c r="G26" s="241" t="s">
        <v>675</v>
      </c>
      <c r="H26" s="241">
        <f t="shared" ref="H26:J27" si="0">H27</f>
        <v>127203</v>
      </c>
      <c r="I26" s="241">
        <f t="shared" si="0"/>
        <v>127203</v>
      </c>
      <c r="J26" s="254">
        <f t="shared" si="0"/>
        <v>0</v>
      </c>
    </row>
    <row r="27" spans="1:10" ht="20.100000000000001" customHeight="1">
      <c r="A27" s="490">
        <v>23746.7</v>
      </c>
      <c r="B27" s="253" t="s">
        <v>517</v>
      </c>
      <c r="C27" s="253">
        <v>27447</v>
      </c>
      <c r="D27" s="253">
        <v>25247</v>
      </c>
      <c r="E27" s="254">
        <f>C27-D27</f>
        <v>2200</v>
      </c>
      <c r="F27" s="372">
        <f>F28</f>
        <v>127203</v>
      </c>
      <c r="G27" s="241" t="s">
        <v>138</v>
      </c>
      <c r="H27" s="241">
        <f t="shared" si="0"/>
        <v>127203</v>
      </c>
      <c r="I27" s="241">
        <f t="shared" si="0"/>
        <v>127203</v>
      </c>
      <c r="J27" s="254">
        <f t="shared" si="0"/>
        <v>0</v>
      </c>
    </row>
    <row r="28" spans="1:10" s="96" customFormat="1" ht="20.100000000000001" customHeight="1">
      <c r="A28" s="372"/>
      <c r="B28" s="241"/>
      <c r="C28" s="241"/>
      <c r="D28" s="241"/>
      <c r="E28" s="254"/>
      <c r="F28" s="496">
        <v>127203</v>
      </c>
      <c r="G28" s="203" t="s">
        <v>139</v>
      </c>
      <c r="H28" s="203">
        <v>127203</v>
      </c>
      <c r="I28" s="203">
        <v>127203</v>
      </c>
      <c r="J28" s="254">
        <f>H28-I28</f>
        <v>0</v>
      </c>
    </row>
    <row r="29" spans="1:10" ht="20.100000000000001" customHeight="1">
      <c r="A29" s="372"/>
      <c r="B29" s="462"/>
      <c r="C29" s="241"/>
      <c r="D29" s="241"/>
      <c r="E29" s="254"/>
      <c r="F29" s="496"/>
      <c r="G29" s="203"/>
      <c r="H29" s="203"/>
      <c r="I29" s="203"/>
      <c r="J29" s="254"/>
    </row>
    <row r="30" spans="1:10" ht="23.1" customHeight="1">
      <c r="A30" s="372">
        <f>A31</f>
        <v>37774.300000000003</v>
      </c>
      <c r="B30" s="241" t="s">
        <v>174</v>
      </c>
      <c r="C30" s="241">
        <f t="shared" ref="C30:E31" si="1">C31</f>
        <v>23613</v>
      </c>
      <c r="D30" s="241">
        <f t="shared" si="1"/>
        <v>34576</v>
      </c>
      <c r="E30" s="254">
        <f t="shared" si="1"/>
        <v>-10963</v>
      </c>
      <c r="F30" s="372">
        <f>F31</f>
        <v>160</v>
      </c>
      <c r="G30" s="517" t="s">
        <v>824</v>
      </c>
      <c r="H30" s="241">
        <f>H31</f>
        <v>160</v>
      </c>
      <c r="I30" s="241">
        <f>I31</f>
        <v>160</v>
      </c>
      <c r="J30" s="254">
        <f>J31</f>
        <v>0</v>
      </c>
    </row>
    <row r="31" spans="1:10" s="96" customFormat="1" ht="20.100000000000001" customHeight="1">
      <c r="A31" s="372">
        <f>A32</f>
        <v>37774.300000000003</v>
      </c>
      <c r="B31" s="241" t="s">
        <v>175</v>
      </c>
      <c r="C31" s="241">
        <f t="shared" si="1"/>
        <v>23613</v>
      </c>
      <c r="D31" s="241">
        <f t="shared" si="1"/>
        <v>34576</v>
      </c>
      <c r="E31" s="254">
        <f t="shared" si="1"/>
        <v>-10963</v>
      </c>
      <c r="F31" s="372">
        <f>SUM(F32)</f>
        <v>160</v>
      </c>
      <c r="G31" s="517" t="s">
        <v>825</v>
      </c>
      <c r="H31" s="241">
        <f>SUM(H32)</f>
        <v>160</v>
      </c>
      <c r="I31" s="241">
        <f>SUM(I32)</f>
        <v>160</v>
      </c>
      <c r="J31" s="254">
        <f>SUM(J32)</f>
        <v>0</v>
      </c>
    </row>
    <row r="32" spans="1:10" s="96" customFormat="1" ht="19.5" customHeight="1">
      <c r="A32" s="490">
        <v>37774.300000000003</v>
      </c>
      <c r="B32" s="253" t="s">
        <v>176</v>
      </c>
      <c r="C32" s="253">
        <v>23613</v>
      </c>
      <c r="D32" s="253">
        <v>34576</v>
      </c>
      <c r="E32" s="254">
        <f>C32-D32</f>
        <v>-10963</v>
      </c>
      <c r="F32" s="497">
        <v>160</v>
      </c>
      <c r="G32" s="527" t="s">
        <v>826</v>
      </c>
      <c r="H32" s="681">
        <v>160</v>
      </c>
      <c r="I32" s="681">
        <v>160</v>
      </c>
      <c r="J32" s="254">
        <f>H32-I32</f>
        <v>0</v>
      </c>
    </row>
    <row r="33" spans="1:10" ht="22.05" customHeight="1">
      <c r="A33" s="490"/>
      <c r="B33" s="253"/>
      <c r="C33" s="253"/>
      <c r="D33" s="253"/>
      <c r="E33" s="254"/>
      <c r="F33" s="497"/>
      <c r="G33" s="255"/>
      <c r="H33" s="255"/>
      <c r="I33" s="255"/>
      <c r="J33" s="254"/>
    </row>
    <row r="34" spans="1:10" ht="23.1" customHeight="1">
      <c r="A34" s="372">
        <f>A35</f>
        <v>0</v>
      </c>
      <c r="B34" s="241" t="s">
        <v>518</v>
      </c>
      <c r="C34" s="241">
        <f t="shared" ref="C34:E35" si="2">C35</f>
        <v>1</v>
      </c>
      <c r="D34" s="241">
        <f t="shared" si="2"/>
        <v>1</v>
      </c>
      <c r="E34" s="254">
        <f t="shared" si="2"/>
        <v>0</v>
      </c>
      <c r="F34" s="372">
        <f>F35</f>
        <v>51605</v>
      </c>
      <c r="G34" s="255" t="s">
        <v>840</v>
      </c>
      <c r="H34" s="255">
        <f>H35</f>
        <v>62397</v>
      </c>
      <c r="I34" s="255">
        <f>I35</f>
        <v>54695</v>
      </c>
      <c r="J34" s="254">
        <f t="shared" ref="J34:J36" si="3">H34-I34</f>
        <v>7702</v>
      </c>
    </row>
    <row r="35" spans="1:10" s="96" customFormat="1" ht="20.100000000000001" customHeight="1">
      <c r="A35" s="372">
        <f>A36</f>
        <v>0</v>
      </c>
      <c r="B35" s="241" t="s">
        <v>519</v>
      </c>
      <c r="C35" s="241">
        <f t="shared" si="2"/>
        <v>1</v>
      </c>
      <c r="D35" s="241">
        <f t="shared" si="2"/>
        <v>1</v>
      </c>
      <c r="E35" s="254">
        <f t="shared" si="2"/>
        <v>0</v>
      </c>
      <c r="F35" s="372">
        <f>SUM(F36)</f>
        <v>51605</v>
      </c>
      <c r="G35" s="255" t="s">
        <v>140</v>
      </c>
      <c r="H35" s="255">
        <f>H36</f>
        <v>62397</v>
      </c>
      <c r="I35" s="255">
        <f>I36</f>
        <v>54695</v>
      </c>
      <c r="J35" s="254">
        <f t="shared" si="3"/>
        <v>7702</v>
      </c>
    </row>
    <row r="36" spans="1:10" s="96" customFormat="1" ht="19.5" customHeight="1">
      <c r="A36" s="490"/>
      <c r="B36" s="253" t="s">
        <v>520</v>
      </c>
      <c r="C36" s="241">
        <v>1</v>
      </c>
      <c r="D36" s="241">
        <v>1</v>
      </c>
      <c r="E36" s="254">
        <f>C36-D36</f>
        <v>0</v>
      </c>
      <c r="F36" s="497">
        <v>51605</v>
      </c>
      <c r="G36" s="255" t="s">
        <v>141</v>
      </c>
      <c r="H36" s="255">
        <v>62397</v>
      </c>
      <c r="I36" s="255">
        <v>54695</v>
      </c>
      <c r="J36" s="254">
        <f t="shared" si="3"/>
        <v>7702</v>
      </c>
    </row>
    <row r="37" spans="1:10" ht="45" customHeight="1" thickBot="1">
      <c r="A37" s="498">
        <f>A7</f>
        <v>427531.6</v>
      </c>
      <c r="B37" s="451" t="s">
        <v>446</v>
      </c>
      <c r="C37" s="449">
        <f>C7</f>
        <v>437430</v>
      </c>
      <c r="D37" s="449">
        <f>D7</f>
        <v>427638</v>
      </c>
      <c r="E37" s="499">
        <f>E7</f>
        <v>9792</v>
      </c>
      <c r="F37" s="498">
        <f>F7+F25</f>
        <v>427532</v>
      </c>
      <c r="G37" s="451" t="s">
        <v>531</v>
      </c>
      <c r="H37" s="449">
        <f>H7+H25</f>
        <v>437430</v>
      </c>
      <c r="I37" s="449">
        <f>I7+I25</f>
        <v>427638</v>
      </c>
      <c r="J37" s="499">
        <f>J7+J25</f>
        <v>9792</v>
      </c>
    </row>
  </sheetData>
  <mergeCells count="8">
    <mergeCell ref="A5:J5"/>
    <mergeCell ref="A4:E4"/>
    <mergeCell ref="F1:J1"/>
    <mergeCell ref="F2:J2"/>
    <mergeCell ref="F3:J3"/>
    <mergeCell ref="A2:E2"/>
    <mergeCell ref="A1:E1"/>
    <mergeCell ref="A3:E3"/>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alignWithMargins="0">
    <oddFooter>&amp;C&amp;"Arial Unicode MS,標準"&amp;P</oddFooter>
  </headerFooter>
</worksheet>
</file>

<file path=xl/worksheets/sheet36.xml><?xml version="1.0" encoding="utf-8"?>
<worksheet xmlns="http://schemas.openxmlformats.org/spreadsheetml/2006/main" xmlns:r="http://schemas.openxmlformats.org/officeDocument/2006/relationships">
  <sheetPr codeName="Sheet38">
    <tabColor rgb="FFFFFFCC"/>
  </sheetPr>
  <dimension ref="A1:E61"/>
  <sheetViews>
    <sheetView topLeftCell="A35" zoomScaleNormal="100" zoomScaleSheetLayoutView="100" workbookViewId="0">
      <selection activeCell="B64" sqref="B64"/>
    </sheetView>
  </sheetViews>
  <sheetFormatPr defaultColWidth="9" defaultRowHeight="16.2"/>
  <cols>
    <col min="1" max="1" width="14.6640625" style="94" customWidth="1"/>
    <col min="2" max="2" width="29.21875" style="41" customWidth="1"/>
    <col min="3" max="3" width="16" style="94" customWidth="1"/>
    <col min="4" max="4" width="15.88671875" style="41" customWidth="1"/>
    <col min="5" max="5" width="15.77734375" style="94" customWidth="1"/>
    <col min="6" max="16384" width="9" style="41"/>
  </cols>
  <sheetData>
    <row r="1" spans="1:5" ht="24.6">
      <c r="A1" s="1055" t="s">
        <v>625</v>
      </c>
      <c r="B1" s="1055"/>
      <c r="C1" s="1055"/>
      <c r="D1" s="1055"/>
      <c r="E1" s="1055"/>
    </row>
    <row r="2" spans="1:5" ht="22.2">
      <c r="A2" s="1056" t="s">
        <v>624</v>
      </c>
      <c r="B2" s="1056"/>
      <c r="C2" s="1056"/>
      <c r="D2" s="1056"/>
      <c r="E2" s="1056"/>
    </row>
    <row r="3" spans="1:5" ht="22.2">
      <c r="A3" s="1057" t="s">
        <v>623</v>
      </c>
      <c r="B3" s="1057"/>
      <c r="C3" s="1057"/>
      <c r="D3" s="1057"/>
      <c r="E3" s="1057"/>
    </row>
    <row r="4" spans="1:5" s="268" customFormat="1" ht="19.8">
      <c r="A4" s="1058" t="s">
        <v>1018</v>
      </c>
      <c r="B4" s="1058"/>
      <c r="C4" s="1058"/>
      <c r="D4" s="1058"/>
      <c r="E4" s="1058"/>
    </row>
    <row r="5" spans="1:5" ht="16.8" thickBot="1">
      <c r="A5" s="1262" t="s">
        <v>641</v>
      </c>
      <c r="B5" s="1262"/>
      <c r="C5" s="1262"/>
      <c r="D5" s="1262"/>
      <c r="E5" s="1262"/>
    </row>
    <row r="6" spans="1:5" ht="35.25" customHeight="1">
      <c r="A6" s="502" t="s">
        <v>1017</v>
      </c>
      <c r="B6" s="487" t="s">
        <v>547</v>
      </c>
      <c r="C6" s="503" t="s">
        <v>1024</v>
      </c>
      <c r="D6" s="503" t="s">
        <v>1019</v>
      </c>
      <c r="E6" s="504" t="s">
        <v>548</v>
      </c>
    </row>
    <row r="7" spans="1:5" s="96" customFormat="1" ht="19.05" customHeight="1">
      <c r="A7" s="961">
        <f>A8+A18+A28+A32-1</f>
        <v>525909</v>
      </c>
      <c r="B7" s="513" t="s">
        <v>549</v>
      </c>
      <c r="C7" s="514">
        <f>C8+C18+C28+C32</f>
        <v>476714.96399999998</v>
      </c>
      <c r="D7" s="514">
        <f>D8+D18+D28+D32</f>
        <v>471133</v>
      </c>
      <c r="E7" s="515">
        <f>E8+E18+E28+E32</f>
        <v>5581.9639999999981</v>
      </c>
    </row>
    <row r="8" spans="1:5" s="96" customFormat="1" ht="19.05" customHeight="1">
      <c r="A8" s="516">
        <f>A9+A16+A13+A11</f>
        <v>453796</v>
      </c>
      <c r="B8" s="517" t="s">
        <v>136</v>
      </c>
      <c r="C8" s="517">
        <f>C9+C16+C13+C11</f>
        <v>412119</v>
      </c>
      <c r="D8" s="517">
        <f>D9+D16+D13+D11</f>
        <v>408978</v>
      </c>
      <c r="E8" s="518">
        <f>E9+E16+E13+E11</f>
        <v>3141</v>
      </c>
    </row>
    <row r="9" spans="1:5" s="96" customFormat="1" ht="19.05" customHeight="1">
      <c r="A9" s="516">
        <f>442157-195000</f>
        <v>247157</v>
      </c>
      <c r="B9" s="517" t="s">
        <v>171</v>
      </c>
      <c r="C9" s="517">
        <f>C10</f>
        <v>240897</v>
      </c>
      <c r="D9" s="517">
        <f>D10</f>
        <v>233444</v>
      </c>
      <c r="E9" s="518">
        <f>C9-D9</f>
        <v>7453</v>
      </c>
    </row>
    <row r="10" spans="1:5" ht="19.05" hidden="1" customHeight="1">
      <c r="A10" s="491">
        <f>442157-195000</f>
        <v>247157</v>
      </c>
      <c r="B10" s="459" t="s">
        <v>552</v>
      </c>
      <c r="C10" s="963">
        <f>204437+32500+3960</f>
        <v>240897</v>
      </c>
      <c r="D10" s="459">
        <f>A10+8094-504-13809+6-40000+32500</f>
        <v>233444</v>
      </c>
      <c r="E10" s="518">
        <f t="shared" ref="E10:E17" si="0">C10-D10</f>
        <v>7453</v>
      </c>
    </row>
    <row r="11" spans="1:5" ht="19.05" customHeight="1">
      <c r="A11" s="491">
        <f>A12</f>
        <v>195000</v>
      </c>
      <c r="B11" s="880" t="s">
        <v>1035</v>
      </c>
      <c r="C11" s="963">
        <f>C12</f>
        <v>162500</v>
      </c>
      <c r="D11" s="459">
        <f>D12</f>
        <v>162500</v>
      </c>
      <c r="E11" s="518">
        <f t="shared" si="0"/>
        <v>0</v>
      </c>
    </row>
    <row r="12" spans="1:5" ht="19.05" hidden="1" customHeight="1">
      <c r="A12" s="491">
        <v>195000</v>
      </c>
      <c r="B12" s="880" t="s">
        <v>1036</v>
      </c>
      <c r="C12" s="963">
        <v>162500</v>
      </c>
      <c r="D12" s="459">
        <v>162500</v>
      </c>
      <c r="E12" s="518">
        <f t="shared" si="0"/>
        <v>0</v>
      </c>
    </row>
    <row r="13" spans="1:5" s="96" customFormat="1" ht="19.05" customHeight="1">
      <c r="A13" s="516">
        <v>69</v>
      </c>
      <c r="B13" s="517" t="s">
        <v>554</v>
      </c>
      <c r="C13" s="517">
        <v>468</v>
      </c>
      <c r="D13" s="517">
        <v>744</v>
      </c>
      <c r="E13" s="518">
        <f t="shared" si="0"/>
        <v>-276</v>
      </c>
    </row>
    <row r="14" spans="1:5" ht="19.05" hidden="1" customHeight="1">
      <c r="A14" s="491">
        <v>21</v>
      </c>
      <c r="B14" s="459" t="s">
        <v>556</v>
      </c>
      <c r="C14" s="517">
        <v>21</v>
      </c>
      <c r="D14" s="517">
        <v>22</v>
      </c>
      <c r="E14" s="518">
        <f t="shared" si="0"/>
        <v>-1</v>
      </c>
    </row>
    <row r="15" spans="1:5" ht="19.05" hidden="1" customHeight="1">
      <c r="A15" s="491">
        <v>48</v>
      </c>
      <c r="B15" s="459" t="s">
        <v>558</v>
      </c>
      <c r="C15" s="517">
        <v>447</v>
      </c>
      <c r="D15" s="517">
        <v>722</v>
      </c>
      <c r="E15" s="518">
        <f t="shared" si="0"/>
        <v>-275</v>
      </c>
    </row>
    <row r="16" spans="1:5" s="96" customFormat="1" ht="19.05" customHeight="1">
      <c r="A16" s="516">
        <v>11570</v>
      </c>
      <c r="B16" s="517" t="s">
        <v>560</v>
      </c>
      <c r="C16" s="517">
        <v>8254</v>
      </c>
      <c r="D16" s="517">
        <v>12290</v>
      </c>
      <c r="E16" s="518">
        <f t="shared" si="0"/>
        <v>-4036</v>
      </c>
    </row>
    <row r="17" spans="1:5" ht="19.05" hidden="1" customHeight="1">
      <c r="A17" s="491">
        <v>11570</v>
      </c>
      <c r="B17" s="459" t="s">
        <v>562</v>
      </c>
      <c r="C17" s="459">
        <v>8254</v>
      </c>
      <c r="D17" s="459">
        <v>12290</v>
      </c>
      <c r="E17" s="518">
        <f t="shared" si="0"/>
        <v>-4036</v>
      </c>
    </row>
    <row r="18" spans="1:5" s="96" customFormat="1" ht="19.05" customHeight="1">
      <c r="A18" s="516">
        <f>A19+A22+A25</f>
        <v>46576</v>
      </c>
      <c r="B18" s="881" t="s">
        <v>1037</v>
      </c>
      <c r="C18" s="517">
        <f t="shared" ref="C18:E18" si="1">C19+C22+C25</f>
        <v>47845.963999999993</v>
      </c>
      <c r="D18" s="517">
        <f t="shared" si="1"/>
        <v>44254</v>
      </c>
      <c r="E18" s="518">
        <f t="shared" si="1"/>
        <v>3591.9639999999981</v>
      </c>
    </row>
    <row r="19" spans="1:5" s="96" customFormat="1" ht="19.05" customHeight="1">
      <c r="A19" s="516">
        <f>A20-A21</f>
        <v>39749</v>
      </c>
      <c r="B19" s="519" t="s">
        <v>626</v>
      </c>
      <c r="C19" s="517">
        <f>C20-C21</f>
        <v>41674.715189389652</v>
      </c>
      <c r="D19" s="517">
        <f>D20-D21</f>
        <v>38853</v>
      </c>
      <c r="E19" s="518">
        <f>E20-E21</f>
        <v>2821.7151893896516</v>
      </c>
    </row>
    <row r="20" spans="1:5" s="553" customFormat="1" ht="19.05" customHeight="1">
      <c r="A20" s="491">
        <v>150340</v>
      </c>
      <c r="B20" s="520" t="s">
        <v>627</v>
      </c>
      <c r="C20" s="459">
        <v>187962</v>
      </c>
      <c r="D20" s="459">
        <v>167085</v>
      </c>
      <c r="E20" s="518">
        <f>C20-D20</f>
        <v>20877</v>
      </c>
    </row>
    <row r="21" spans="1:5" s="554" customFormat="1" ht="32.4" customHeight="1">
      <c r="A21" s="491">
        <v>110591</v>
      </c>
      <c r="B21" s="521" t="s">
        <v>673</v>
      </c>
      <c r="C21" s="459">
        <f>D21+E21</f>
        <v>146287.28481061035</v>
      </c>
      <c r="D21" s="459">
        <v>128232</v>
      </c>
      <c r="E21" s="518">
        <f>(20000-497*12/1000-595)/15909*14807</f>
        <v>18055.284810610348</v>
      </c>
    </row>
    <row r="22" spans="1:5" s="96" customFormat="1" ht="19.05" customHeight="1">
      <c r="A22" s="516">
        <f>A23-A24</f>
        <v>1330</v>
      </c>
      <c r="B22" s="519" t="s">
        <v>668</v>
      </c>
      <c r="C22" s="517">
        <f>C23-C24</f>
        <v>140</v>
      </c>
      <c r="D22" s="517">
        <f>D23-D24</f>
        <v>735</v>
      </c>
      <c r="E22" s="518">
        <f>E23-E24</f>
        <v>-595</v>
      </c>
    </row>
    <row r="23" spans="1:5" s="460" customFormat="1" ht="19.05" customHeight="1">
      <c r="A23" s="493">
        <v>11540</v>
      </c>
      <c r="B23" s="520" t="s">
        <v>669</v>
      </c>
      <c r="C23" s="458">
        <f>'34.資產折舊明細表'!E12</f>
        <v>11540</v>
      </c>
      <c r="D23" s="458">
        <v>11540</v>
      </c>
      <c r="E23" s="518">
        <f>C23-D23</f>
        <v>0</v>
      </c>
    </row>
    <row r="24" spans="1:5" s="455" customFormat="1" ht="32.4" customHeight="1">
      <c r="A24" s="493">
        <v>10210</v>
      </c>
      <c r="B24" s="521" t="s">
        <v>674</v>
      </c>
      <c r="C24" s="458">
        <f>D24+E24</f>
        <v>11400</v>
      </c>
      <c r="D24" s="458">
        <v>10805</v>
      </c>
      <c r="E24" s="518">
        <v>595</v>
      </c>
    </row>
    <row r="25" spans="1:5" s="96" customFormat="1" ht="19.05" customHeight="1">
      <c r="A25" s="516">
        <f>A26-A27</f>
        <v>5497</v>
      </c>
      <c r="B25" s="519" t="s">
        <v>670</v>
      </c>
      <c r="C25" s="517">
        <f>C26-C27</f>
        <v>6031.2488106103447</v>
      </c>
      <c r="D25" s="517">
        <f>D26-D27</f>
        <v>4666</v>
      </c>
      <c r="E25" s="518">
        <f>E26-E27</f>
        <v>1365.2488106103463</v>
      </c>
    </row>
    <row r="26" spans="1:5" ht="19.05" customHeight="1">
      <c r="A26" s="491">
        <v>26407</v>
      </c>
      <c r="B26" s="520" t="s">
        <v>671</v>
      </c>
      <c r="C26" s="459">
        <v>30654</v>
      </c>
      <c r="D26" s="459">
        <v>27945</v>
      </c>
      <c r="E26" s="518">
        <f>C26-D26</f>
        <v>2709</v>
      </c>
    </row>
    <row r="27" spans="1:5" ht="19.05" customHeight="1">
      <c r="A27" s="491">
        <v>20910</v>
      </c>
      <c r="B27" s="459" t="s">
        <v>628</v>
      </c>
      <c r="C27" s="459">
        <f>D27+E27</f>
        <v>24622.751189389655</v>
      </c>
      <c r="D27" s="459">
        <v>23279</v>
      </c>
      <c r="E27" s="518">
        <f>(20000-497*12/1000-595)/15909*1102</f>
        <v>1343.7511893896537</v>
      </c>
    </row>
    <row r="28" spans="1:5" s="96" customFormat="1" ht="19.05" customHeight="1">
      <c r="A28" s="516">
        <f>A29</f>
        <v>25533</v>
      </c>
      <c r="B28" s="517" t="s">
        <v>573</v>
      </c>
      <c r="C28" s="517">
        <f t="shared" ref="C28:E28" si="2">C29</f>
        <v>16747</v>
      </c>
      <c r="D28" s="517">
        <f t="shared" si="2"/>
        <v>17896</v>
      </c>
      <c r="E28" s="518">
        <f t="shared" si="2"/>
        <v>-1149</v>
      </c>
    </row>
    <row r="29" spans="1:5" s="96" customFormat="1" ht="19.05" customHeight="1">
      <c r="A29" s="516">
        <f>A30+A31</f>
        <v>25533</v>
      </c>
      <c r="B29" s="517" t="s">
        <v>575</v>
      </c>
      <c r="C29" s="517">
        <f>C30+C31</f>
        <v>16747</v>
      </c>
      <c r="D29" s="517">
        <f>D30+D31</f>
        <v>17896</v>
      </c>
      <c r="E29" s="518">
        <f>SUM(E30:E31)</f>
        <v>-1149</v>
      </c>
    </row>
    <row r="30" spans="1:5" s="96" customFormat="1" ht="19.05" hidden="1" customHeight="1">
      <c r="A30" s="516">
        <v>58</v>
      </c>
      <c r="B30" s="459" t="s">
        <v>1021</v>
      </c>
      <c r="C30" s="517">
        <f>D30+E30</f>
        <v>46</v>
      </c>
      <c r="D30" s="517">
        <v>52</v>
      </c>
      <c r="E30" s="518">
        <v>-6</v>
      </c>
    </row>
    <row r="31" spans="1:5" ht="21" hidden="1" customHeight="1">
      <c r="A31" s="491">
        <v>25475</v>
      </c>
      <c r="B31" s="459" t="s">
        <v>576</v>
      </c>
      <c r="C31" s="963">
        <f>D31+18857-20000</f>
        <v>16701</v>
      </c>
      <c r="D31" s="459">
        <f>A31+13616-21247</f>
        <v>17844</v>
      </c>
      <c r="E31" s="518">
        <f>C31-D31</f>
        <v>-1143</v>
      </c>
    </row>
    <row r="32" spans="1:5" s="96" customFormat="1" ht="19.05" customHeight="1">
      <c r="A32" s="516">
        <f>A33</f>
        <v>5</v>
      </c>
      <c r="B32" s="517" t="s">
        <v>577</v>
      </c>
      <c r="C32" s="517">
        <f t="shared" ref="C32:E32" si="3">C33</f>
        <v>3</v>
      </c>
      <c r="D32" s="517">
        <f t="shared" si="3"/>
        <v>5</v>
      </c>
      <c r="E32" s="518">
        <f t="shared" si="3"/>
        <v>-2</v>
      </c>
    </row>
    <row r="33" spans="1:5" s="96" customFormat="1" ht="19.05" customHeight="1">
      <c r="A33" s="516">
        <v>5</v>
      </c>
      <c r="B33" s="517" t="s">
        <v>578</v>
      </c>
      <c r="C33" s="517">
        <v>3</v>
      </c>
      <c r="D33" s="517">
        <v>5</v>
      </c>
      <c r="E33" s="518">
        <f>C33-D33</f>
        <v>-2</v>
      </c>
    </row>
    <row r="34" spans="1:5" hidden="1">
      <c r="A34" s="491">
        <v>5</v>
      </c>
      <c r="B34" s="459" t="s">
        <v>579</v>
      </c>
      <c r="C34" s="517">
        <v>3</v>
      </c>
      <c r="D34" s="517">
        <f>A34</f>
        <v>5</v>
      </c>
      <c r="E34" s="518">
        <f>C34-D34</f>
        <v>-2</v>
      </c>
    </row>
    <row r="35" spans="1:5" s="96" customFormat="1" ht="19.05" customHeight="1">
      <c r="A35" s="522">
        <f>A7</f>
        <v>525909</v>
      </c>
      <c r="B35" s="523" t="s">
        <v>580</v>
      </c>
      <c r="C35" s="524">
        <f>C7</f>
        <v>476714.96399999998</v>
      </c>
      <c r="D35" s="524">
        <f>D7</f>
        <v>471133</v>
      </c>
      <c r="E35" s="525">
        <f>E7</f>
        <v>5581.9639999999981</v>
      </c>
    </row>
    <row r="36" spans="1:5" s="96" customFormat="1" ht="7.5" customHeight="1">
      <c r="A36" s="522"/>
      <c r="B36" s="523"/>
      <c r="C36" s="524"/>
      <c r="D36" s="524"/>
      <c r="E36" s="525"/>
    </row>
    <row r="37" spans="1:5" ht="19.05" customHeight="1">
      <c r="A37" s="522">
        <f>A38+A46-1</f>
        <v>247538</v>
      </c>
      <c r="B37" s="523" t="s">
        <v>622</v>
      </c>
      <c r="C37" s="524">
        <f>C38+C46</f>
        <v>174813</v>
      </c>
      <c r="D37" s="524">
        <f>D38+D46</f>
        <v>182930</v>
      </c>
      <c r="E37" s="525">
        <f>E38+E46</f>
        <v>-8117</v>
      </c>
    </row>
    <row r="38" spans="1:5" ht="19.05" customHeight="1">
      <c r="A38" s="516">
        <f>A39+A44+1</f>
        <v>217461</v>
      </c>
      <c r="B38" s="517" t="s">
        <v>550</v>
      </c>
      <c r="C38" s="517">
        <f>C39+C44</f>
        <v>150078</v>
      </c>
      <c r="D38" s="517">
        <f>D39+D44</f>
        <v>152302</v>
      </c>
      <c r="E38" s="518">
        <f>E39+E44</f>
        <v>-2224</v>
      </c>
    </row>
    <row r="39" spans="1:5" ht="19.05" customHeight="1">
      <c r="A39" s="516">
        <f>SUM(A40:A43)</f>
        <v>133134</v>
      </c>
      <c r="B39" s="517" t="s">
        <v>551</v>
      </c>
      <c r="C39" s="517">
        <f>SUM(C40:C43)</f>
        <v>52451</v>
      </c>
      <c r="D39" s="517">
        <f>SUM(D40:D43)</f>
        <v>65903</v>
      </c>
      <c r="E39" s="518">
        <f>C39-D39</f>
        <v>-13452</v>
      </c>
    </row>
    <row r="40" spans="1:5" ht="21" hidden="1" customHeight="1">
      <c r="A40" s="491">
        <v>304</v>
      </c>
      <c r="B40" s="459" t="s">
        <v>553</v>
      </c>
      <c r="C40" s="517">
        <f>ROUND((303.582+529.761)/2,0)</f>
        <v>417</v>
      </c>
      <c r="D40" s="517">
        <f>A40-200</f>
        <v>104</v>
      </c>
      <c r="E40" s="518">
        <f t="shared" ref="E40:E45" si="4">C40-D40</f>
        <v>313</v>
      </c>
    </row>
    <row r="41" spans="1:5" ht="21" hidden="1" customHeight="1">
      <c r="A41" s="491">
        <v>21942</v>
      </c>
      <c r="B41" s="459" t="s">
        <v>555</v>
      </c>
      <c r="C41" s="517">
        <f>ROUND((20371+21942)/2-13809,0)</f>
        <v>7348</v>
      </c>
      <c r="D41" s="517">
        <f>A41-4885-13809</f>
        <v>3248</v>
      </c>
      <c r="E41" s="518">
        <f t="shared" si="4"/>
        <v>4100</v>
      </c>
    </row>
    <row r="42" spans="1:5" ht="21" hidden="1" customHeight="1">
      <c r="A42" s="491">
        <v>104557</v>
      </c>
      <c r="B42" s="459" t="s">
        <v>557</v>
      </c>
      <c r="C42" s="517">
        <v>40000</v>
      </c>
      <c r="D42" s="517">
        <f>A42-8180-40000</f>
        <v>56377</v>
      </c>
      <c r="E42" s="518">
        <f t="shared" si="4"/>
        <v>-16377</v>
      </c>
    </row>
    <row r="43" spans="1:5" ht="21" hidden="1" customHeight="1">
      <c r="A43" s="491">
        <v>6331</v>
      </c>
      <c r="B43" s="459" t="s">
        <v>561</v>
      </c>
      <c r="C43" s="517">
        <f>ROUND((3040+6331)/2,0)</f>
        <v>4686</v>
      </c>
      <c r="D43" s="517">
        <f>A43-157</f>
        <v>6174</v>
      </c>
      <c r="E43" s="518">
        <f t="shared" si="4"/>
        <v>-1488</v>
      </c>
    </row>
    <row r="44" spans="1:5" ht="19.05" customHeight="1">
      <c r="A44" s="516">
        <v>84326</v>
      </c>
      <c r="B44" s="517" t="s">
        <v>563</v>
      </c>
      <c r="C44" s="517">
        <v>97627</v>
      </c>
      <c r="D44" s="517">
        <f>86398+1</f>
        <v>86399</v>
      </c>
      <c r="E44" s="518">
        <f>C44-D44</f>
        <v>11228</v>
      </c>
    </row>
    <row r="45" spans="1:5" ht="21" hidden="1" customHeight="1">
      <c r="A45" s="491">
        <v>84326</v>
      </c>
      <c r="B45" s="459" t="s">
        <v>564</v>
      </c>
      <c r="C45" s="459">
        <v>97627</v>
      </c>
      <c r="D45" s="459">
        <v>86399</v>
      </c>
      <c r="E45" s="518">
        <f t="shared" si="4"/>
        <v>11228</v>
      </c>
    </row>
    <row r="46" spans="1:5" ht="19.05" customHeight="1">
      <c r="A46" s="516">
        <f>A47</f>
        <v>30078</v>
      </c>
      <c r="B46" s="517" t="s">
        <v>566</v>
      </c>
      <c r="C46" s="517">
        <f>C47</f>
        <v>24735</v>
      </c>
      <c r="D46" s="517">
        <f>D47</f>
        <v>30628</v>
      </c>
      <c r="E46" s="518">
        <f>E47</f>
        <v>-5893</v>
      </c>
    </row>
    <row r="47" spans="1:5" ht="19.05" customHeight="1">
      <c r="A47" s="516">
        <f>SUM(A48:A49)</f>
        <v>30078</v>
      </c>
      <c r="B47" s="517" t="s">
        <v>567</v>
      </c>
      <c r="C47" s="517">
        <f>C48+C49</f>
        <v>24735</v>
      </c>
      <c r="D47" s="517">
        <v>30628</v>
      </c>
      <c r="E47" s="518">
        <f>E48+E49</f>
        <v>-5893</v>
      </c>
    </row>
    <row r="48" spans="1:5" ht="21" hidden="1" customHeight="1">
      <c r="A48" s="491">
        <v>15748</v>
      </c>
      <c r="B48" s="459" t="s">
        <v>568</v>
      </c>
      <c r="C48" s="517">
        <v>14151</v>
      </c>
      <c r="D48" s="517">
        <f>A48+646</f>
        <v>16394</v>
      </c>
      <c r="E48" s="518">
        <f>C48-D48</f>
        <v>-2243</v>
      </c>
    </row>
    <row r="49" spans="1:5" ht="21" hidden="1" customHeight="1">
      <c r="A49" s="491">
        <v>14330</v>
      </c>
      <c r="B49" s="459" t="s">
        <v>569</v>
      </c>
      <c r="C49" s="517">
        <v>10584</v>
      </c>
      <c r="D49" s="517">
        <f>A49-96</f>
        <v>14234</v>
      </c>
      <c r="E49" s="518">
        <f>C49-D49</f>
        <v>-3650</v>
      </c>
    </row>
    <row r="50" spans="1:5" ht="19.05" customHeight="1">
      <c r="A50" s="522">
        <f>A51+A54+A57</f>
        <v>278371</v>
      </c>
      <c r="B50" s="523" t="s">
        <v>570</v>
      </c>
      <c r="C50" s="524">
        <f>C51+C54+C57</f>
        <v>301902</v>
      </c>
      <c r="D50" s="524">
        <f>D51+D54+D57</f>
        <v>288203</v>
      </c>
      <c r="E50" s="525">
        <f>E51+E57</f>
        <v>13699</v>
      </c>
    </row>
    <row r="51" spans="1:5" ht="19.05" customHeight="1">
      <c r="A51" s="516">
        <f>A52</f>
        <v>127203</v>
      </c>
      <c r="B51" s="517" t="s">
        <v>137</v>
      </c>
      <c r="C51" s="517">
        <f t="shared" ref="C51:E54" si="5">C52</f>
        <v>127203</v>
      </c>
      <c r="D51" s="517">
        <f t="shared" si="5"/>
        <v>127203</v>
      </c>
      <c r="E51" s="518">
        <f t="shared" ref="E51:E53" si="6">C51-D51</f>
        <v>0</v>
      </c>
    </row>
    <row r="52" spans="1:5" ht="19.05" customHeight="1">
      <c r="A52" s="516">
        <f>A53</f>
        <v>127203</v>
      </c>
      <c r="B52" s="517" t="s">
        <v>138</v>
      </c>
      <c r="C52" s="517">
        <f t="shared" si="5"/>
        <v>127203</v>
      </c>
      <c r="D52" s="517">
        <f t="shared" si="5"/>
        <v>127203</v>
      </c>
      <c r="E52" s="518">
        <f t="shared" si="6"/>
        <v>0</v>
      </c>
    </row>
    <row r="53" spans="1:5" ht="21" hidden="1" customHeight="1">
      <c r="A53" s="491">
        <v>127203</v>
      </c>
      <c r="B53" s="459" t="s">
        <v>139</v>
      </c>
      <c r="C53" s="459">
        <v>127203</v>
      </c>
      <c r="D53" s="459">
        <f>A53</f>
        <v>127203</v>
      </c>
      <c r="E53" s="518">
        <f t="shared" si="6"/>
        <v>0</v>
      </c>
    </row>
    <row r="54" spans="1:5" ht="19.05" customHeight="1">
      <c r="A54" s="516">
        <f>A55</f>
        <v>160</v>
      </c>
      <c r="B54" s="517" t="s">
        <v>824</v>
      </c>
      <c r="C54" s="459">
        <f>C55</f>
        <v>160</v>
      </c>
      <c r="D54" s="459">
        <f>D55</f>
        <v>160</v>
      </c>
      <c r="E54" s="518">
        <f t="shared" si="5"/>
        <v>0</v>
      </c>
    </row>
    <row r="55" spans="1:5" ht="19.05" customHeight="1">
      <c r="A55" s="516">
        <f>A56</f>
        <v>160</v>
      </c>
      <c r="B55" s="517" t="s">
        <v>825</v>
      </c>
      <c r="C55" s="459">
        <f>C56</f>
        <v>160</v>
      </c>
      <c r="D55" s="459">
        <f>D56</f>
        <v>160</v>
      </c>
      <c r="E55" s="518">
        <f>C55-D55</f>
        <v>0</v>
      </c>
    </row>
    <row r="56" spans="1:5" ht="21" hidden="1" customHeight="1">
      <c r="A56" s="491">
        <v>160</v>
      </c>
      <c r="B56" s="527" t="s">
        <v>826</v>
      </c>
      <c r="C56" s="459">
        <v>160</v>
      </c>
      <c r="D56" s="459">
        <v>160</v>
      </c>
      <c r="E56" s="518"/>
    </row>
    <row r="57" spans="1:5" ht="19.05" customHeight="1">
      <c r="A57" s="516">
        <f>A58</f>
        <v>151008</v>
      </c>
      <c r="B57" s="517" t="s">
        <v>574</v>
      </c>
      <c r="C57" s="517">
        <f>C58</f>
        <v>174539</v>
      </c>
      <c r="D57" s="517">
        <f>D58</f>
        <v>160840</v>
      </c>
      <c r="E57" s="518">
        <f>E58</f>
        <v>13699</v>
      </c>
    </row>
    <row r="58" spans="1:5" ht="19.05" customHeight="1">
      <c r="A58" s="516">
        <v>151008</v>
      </c>
      <c r="B58" s="517" t="s">
        <v>140</v>
      </c>
      <c r="C58" s="517">
        <f>C59</f>
        <v>174539</v>
      </c>
      <c r="D58" s="517">
        <f>160840</f>
        <v>160840</v>
      </c>
      <c r="E58" s="518">
        <f>SUM(E59)</f>
        <v>13699</v>
      </c>
    </row>
    <row r="59" spans="1:5" ht="21" hidden="1" customHeight="1">
      <c r="A59" s="493">
        <v>151008</v>
      </c>
      <c r="B59" s="527" t="s">
        <v>141</v>
      </c>
      <c r="C59" s="964">
        <f>'17.撥補表'!E19</f>
        <v>174539</v>
      </c>
      <c r="D59" s="458">
        <v>160840</v>
      </c>
      <c r="E59" s="518">
        <f>C59-D59</f>
        <v>13699</v>
      </c>
    </row>
    <row r="60" spans="1:5" ht="19.05" customHeight="1" thickBot="1">
      <c r="A60" s="962">
        <f>A37+A50</f>
        <v>525909</v>
      </c>
      <c r="B60" s="528" t="s">
        <v>581</v>
      </c>
      <c r="C60" s="529">
        <f>C37+C50</f>
        <v>476715</v>
      </c>
      <c r="D60" s="529">
        <f>D37+D50</f>
        <v>471133</v>
      </c>
      <c r="E60" s="530">
        <f>E37+E50</f>
        <v>5582</v>
      </c>
    </row>
    <row r="61" spans="1:5">
      <c r="A61" s="842" t="s">
        <v>1038</v>
      </c>
      <c r="B61" s="33"/>
      <c r="C61" s="842"/>
      <c r="D61" s="33"/>
      <c r="E61" s="842"/>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55118110236220474" header="0.51181102362204722" footer="0.31496062992125984"/>
  <pageSetup paperSize="9" scale="92" firstPageNumber="37" orientation="portrait" blackAndWhite="1" useFirstPageNumber="1" r:id="rId1"/>
  <headerFooter scaleWithDoc="0" alignWithMargins="0">
    <oddFooter>&amp;C&amp;"Arial Unicode MS,標準"&amp;P</oddFooter>
  </headerFooter>
  <legacyDrawing r:id="rId2"/>
</worksheet>
</file>

<file path=xl/worksheets/sheet37.xml><?xml version="1.0" encoding="utf-8"?>
<worksheet xmlns="http://schemas.openxmlformats.org/spreadsheetml/2006/main" xmlns:r="http://schemas.openxmlformats.org/officeDocument/2006/relationships">
  <sheetPr>
    <tabColor rgb="FFFFFFCC"/>
  </sheetPr>
  <dimension ref="A1:E72"/>
  <sheetViews>
    <sheetView view="pageBreakPreview" topLeftCell="A46" zoomScaleNormal="100" zoomScaleSheetLayoutView="100" workbookViewId="0">
      <selection activeCell="E61" sqref="E61"/>
    </sheetView>
  </sheetViews>
  <sheetFormatPr defaultColWidth="9" defaultRowHeight="16.2"/>
  <cols>
    <col min="1" max="1" width="14.6640625" style="94" customWidth="1"/>
    <col min="2" max="2" width="29.21875" style="41" customWidth="1"/>
    <col min="3" max="3" width="16" style="94" customWidth="1"/>
    <col min="4" max="4" width="15.88671875" style="41" customWidth="1"/>
    <col min="5" max="5" width="15.77734375" style="94" customWidth="1"/>
    <col min="6" max="16384" width="9" style="41"/>
  </cols>
  <sheetData>
    <row r="1" spans="1:5" ht="24.6">
      <c r="A1" s="1055" t="s">
        <v>625</v>
      </c>
      <c r="B1" s="1055"/>
      <c r="C1" s="1055"/>
      <c r="D1" s="1055"/>
      <c r="E1" s="1055"/>
    </row>
    <row r="2" spans="1:5" ht="22.2">
      <c r="A2" s="1056" t="s">
        <v>624</v>
      </c>
      <c r="B2" s="1056"/>
      <c r="C2" s="1056"/>
      <c r="D2" s="1056"/>
      <c r="E2" s="1056"/>
    </row>
    <row r="3" spans="1:5" ht="22.2">
      <c r="A3" s="1057" t="s">
        <v>623</v>
      </c>
      <c r="B3" s="1057"/>
      <c r="C3" s="1057"/>
      <c r="D3" s="1057"/>
      <c r="E3" s="1057"/>
    </row>
    <row r="4" spans="1:5" s="268" customFormat="1" ht="19.8">
      <c r="A4" s="1058" t="s">
        <v>978</v>
      </c>
      <c r="B4" s="1058"/>
      <c r="C4" s="1058"/>
      <c r="D4" s="1058"/>
      <c r="E4" s="1058"/>
    </row>
    <row r="5" spans="1:5" ht="16.8" thickBot="1">
      <c r="A5" s="1262" t="s">
        <v>641</v>
      </c>
      <c r="B5" s="1262"/>
      <c r="C5" s="1262"/>
      <c r="D5" s="1262"/>
      <c r="E5" s="1262"/>
    </row>
    <row r="6" spans="1:5" ht="35.25" customHeight="1">
      <c r="A6" s="502" t="s">
        <v>979</v>
      </c>
      <c r="B6" s="765" t="s">
        <v>368</v>
      </c>
      <c r="C6" s="503" t="s">
        <v>980</v>
      </c>
      <c r="D6" s="503" t="s">
        <v>833</v>
      </c>
      <c r="E6" s="504" t="s">
        <v>367</v>
      </c>
    </row>
    <row r="7" spans="1:5" s="96" customFormat="1" ht="20.100000000000001" customHeight="1">
      <c r="A7" s="746">
        <f>A8+A17+A30+A34</f>
        <v>494476</v>
      </c>
      <c r="B7" s="513" t="s">
        <v>434</v>
      </c>
      <c r="C7" s="514">
        <f>C8+C17+C30+C34</f>
        <v>510831</v>
      </c>
      <c r="D7" s="514">
        <f>D8+D17+D30+D34</f>
        <v>506068</v>
      </c>
      <c r="E7" s="515">
        <f>E8+E17+E30+E34</f>
        <v>4763</v>
      </c>
    </row>
    <row r="8" spans="1:5" s="96" customFormat="1" ht="20.100000000000001" customHeight="1">
      <c r="A8" s="743">
        <f>A9+A14+A11</f>
        <v>414847</v>
      </c>
      <c r="B8" s="517" t="s">
        <v>136</v>
      </c>
      <c r="C8" s="517">
        <f>C9+C14+C11</f>
        <v>447778</v>
      </c>
      <c r="D8" s="517">
        <f>D9+D14+D11</f>
        <v>438289</v>
      </c>
      <c r="E8" s="518">
        <f>E9+E14+E11</f>
        <v>9489</v>
      </c>
    </row>
    <row r="9" spans="1:5" s="96" customFormat="1" ht="20.100000000000001" customHeight="1">
      <c r="A9" s="743">
        <f>A10</f>
        <v>409041</v>
      </c>
      <c r="B9" s="517" t="s">
        <v>171</v>
      </c>
      <c r="C9" s="517">
        <f>C10</f>
        <v>439513</v>
      </c>
      <c r="D9" s="719">
        <f>D10</f>
        <v>431419</v>
      </c>
      <c r="E9" s="518">
        <f>E10</f>
        <v>8094</v>
      </c>
    </row>
    <row r="10" spans="1:5" ht="21" customHeight="1">
      <c r="A10" s="744">
        <v>409041</v>
      </c>
      <c r="B10" s="459" t="s">
        <v>552</v>
      </c>
      <c r="C10" s="764">
        <f>437207-94+2400</f>
        <v>439513</v>
      </c>
      <c r="D10" s="735">
        <f>A10+22472-94</f>
        <v>431419</v>
      </c>
      <c r="E10" s="518">
        <f>C10-D10</f>
        <v>8094</v>
      </c>
    </row>
    <row r="11" spans="1:5" s="96" customFormat="1" ht="21" customHeight="1">
      <c r="A11" s="743">
        <f>SUM(A12:A13)</f>
        <v>868</v>
      </c>
      <c r="B11" s="517" t="s">
        <v>511</v>
      </c>
      <c r="C11" s="719">
        <f>C12+C13</f>
        <v>1107</v>
      </c>
      <c r="D11" s="719">
        <f>D12+D13</f>
        <v>432</v>
      </c>
      <c r="E11" s="518">
        <f>E12+E13</f>
        <v>675</v>
      </c>
    </row>
    <row r="12" spans="1:5" ht="21" customHeight="1">
      <c r="A12" s="744">
        <v>21</v>
      </c>
      <c r="B12" s="459" t="s">
        <v>556</v>
      </c>
      <c r="C12" s="719">
        <v>32</v>
      </c>
      <c r="D12" s="719">
        <f>A12+10</f>
        <v>31</v>
      </c>
      <c r="E12" s="518">
        <f>C12-D12</f>
        <v>1</v>
      </c>
    </row>
    <row r="13" spans="1:5" ht="21" customHeight="1">
      <c r="A13" s="744">
        <v>847</v>
      </c>
      <c r="B13" s="459" t="s">
        <v>558</v>
      </c>
      <c r="C13" s="719">
        <v>1075</v>
      </c>
      <c r="D13" s="719">
        <f>A13-446</f>
        <v>401</v>
      </c>
      <c r="E13" s="518">
        <f>C13-D13</f>
        <v>674</v>
      </c>
    </row>
    <row r="14" spans="1:5" s="96" customFormat="1" ht="20.100000000000001" customHeight="1">
      <c r="A14" s="743">
        <f>A15</f>
        <v>4938</v>
      </c>
      <c r="B14" s="517" t="s">
        <v>560</v>
      </c>
      <c r="C14" s="719">
        <f>C15</f>
        <v>7158</v>
      </c>
      <c r="D14" s="719">
        <f>D15</f>
        <v>6438</v>
      </c>
      <c r="E14" s="518">
        <f>E15</f>
        <v>720</v>
      </c>
    </row>
    <row r="15" spans="1:5" ht="21" customHeight="1">
      <c r="A15" s="744">
        <v>4938</v>
      </c>
      <c r="B15" s="459" t="s">
        <v>562</v>
      </c>
      <c r="C15" s="735">
        <v>7158</v>
      </c>
      <c r="D15" s="735">
        <f>A15+1500</f>
        <v>6438</v>
      </c>
      <c r="E15" s="518">
        <f>C15-D15</f>
        <v>720</v>
      </c>
    </row>
    <row r="16" spans="1:5" ht="20.100000000000001" customHeight="1">
      <c r="A16" s="491"/>
      <c r="B16" s="459"/>
      <c r="C16" s="459"/>
      <c r="D16" s="459"/>
      <c r="E16" s="518"/>
    </row>
    <row r="17" spans="1:5" s="96" customFormat="1" ht="20.100000000000001" customHeight="1">
      <c r="A17" s="750">
        <f>A18+A21+A24+A27-1</f>
        <v>47795</v>
      </c>
      <c r="B17" s="517" t="s">
        <v>565</v>
      </c>
      <c r="C17" s="719">
        <f>C18+C21+C24+C27</f>
        <v>50413</v>
      </c>
      <c r="D17" s="517">
        <f>D18+D21+D24+D27</f>
        <v>47508</v>
      </c>
      <c r="E17" s="518">
        <f>E18+E21+E24+E27</f>
        <v>2905</v>
      </c>
    </row>
    <row r="18" spans="1:5" s="96" customFormat="1" ht="20.100000000000001" customHeight="1">
      <c r="A18" s="750">
        <f>A19-A20+1</f>
        <v>42363</v>
      </c>
      <c r="B18" s="519" t="s">
        <v>626</v>
      </c>
      <c r="C18" s="719">
        <f>C19-C20</f>
        <v>48304</v>
      </c>
      <c r="D18" s="517">
        <f>D19-D20</f>
        <v>42461</v>
      </c>
      <c r="E18" s="518">
        <f>E19-E20</f>
        <v>5843</v>
      </c>
    </row>
    <row r="19" spans="1:5" s="553" customFormat="1" ht="20.100000000000001" customHeight="1">
      <c r="A19" s="744">
        <v>147999</v>
      </c>
      <c r="B19" s="520" t="s">
        <v>627</v>
      </c>
      <c r="C19" s="735">
        <f>'34.資產折舊明細表'!D12</f>
        <v>187962</v>
      </c>
      <c r="D19" s="735">
        <f>A19+16479</f>
        <v>164478</v>
      </c>
      <c r="E19" s="518">
        <f>C19-D19</f>
        <v>23484</v>
      </c>
    </row>
    <row r="20" spans="1:5" s="554" customFormat="1" ht="37.5" customHeight="1">
      <c r="A20" s="744">
        <f>105637</f>
        <v>105637</v>
      </c>
      <c r="B20" s="521" t="s">
        <v>673</v>
      </c>
      <c r="C20" s="735">
        <v>139658</v>
      </c>
      <c r="D20" s="735">
        <f>A20+16380</f>
        <v>122017</v>
      </c>
      <c r="E20" s="518">
        <f>C20-D20</f>
        <v>17641</v>
      </c>
    </row>
    <row r="21" spans="1:5" s="96" customFormat="1" ht="20.100000000000001" customHeight="1">
      <c r="A21" s="750">
        <f>A22-A23-1</f>
        <v>2079</v>
      </c>
      <c r="B21" s="519" t="s">
        <v>668</v>
      </c>
      <c r="C21" s="719">
        <f>C22-C23</f>
        <v>-954</v>
      </c>
      <c r="D21" s="517">
        <f>D22-D23</f>
        <v>1153</v>
      </c>
      <c r="E21" s="518">
        <f>E22-E23</f>
        <v>-2107</v>
      </c>
    </row>
    <row r="22" spans="1:5" s="460" customFormat="1" ht="20.100000000000001" customHeight="1">
      <c r="A22" s="745">
        <v>12548</v>
      </c>
      <c r="B22" s="520" t="s">
        <v>669</v>
      </c>
      <c r="C22" s="749">
        <f>'34.資產折舊明細表'!E12</f>
        <v>11540</v>
      </c>
      <c r="D22" s="749">
        <f>A22</f>
        <v>12548</v>
      </c>
      <c r="E22" s="518">
        <f>C22-D22</f>
        <v>-1008</v>
      </c>
    </row>
    <row r="23" spans="1:5" s="455" customFormat="1" ht="36.75" customHeight="1">
      <c r="A23" s="751">
        <f>10468</f>
        <v>10468</v>
      </c>
      <c r="B23" s="521" t="s">
        <v>674</v>
      </c>
      <c r="C23" s="749">
        <f>12588-94</f>
        <v>12494</v>
      </c>
      <c r="D23" s="752">
        <v>11395</v>
      </c>
      <c r="E23" s="518">
        <f>C23-D23</f>
        <v>1099</v>
      </c>
    </row>
    <row r="24" spans="1:5" s="96" customFormat="1" ht="20.100000000000001" customHeight="1">
      <c r="A24" s="743">
        <f>A25-A26</f>
        <v>3354</v>
      </c>
      <c r="B24" s="519" t="s">
        <v>670</v>
      </c>
      <c r="C24" s="719">
        <f>C25-C26</f>
        <v>3063</v>
      </c>
      <c r="D24" s="517">
        <f>D25-D26</f>
        <v>3894</v>
      </c>
      <c r="E24" s="518">
        <f>E25-E26</f>
        <v>-831</v>
      </c>
    </row>
    <row r="25" spans="1:5" ht="20.100000000000001" customHeight="1">
      <c r="A25" s="744">
        <v>27094</v>
      </c>
      <c r="B25" s="520" t="s">
        <v>671</v>
      </c>
      <c r="C25" s="735">
        <v>31372</v>
      </c>
      <c r="D25" s="735">
        <f>A25+2740</f>
        <v>29834</v>
      </c>
      <c r="E25" s="518">
        <f>C25-D25</f>
        <v>1538</v>
      </c>
    </row>
    <row r="26" spans="1:5" ht="20.100000000000001" customHeight="1">
      <c r="A26" s="744">
        <v>23740</v>
      </c>
      <c r="B26" s="459" t="s">
        <v>628</v>
      </c>
      <c r="C26" s="735">
        <v>28309</v>
      </c>
      <c r="D26" s="735">
        <f>A26+2200</f>
        <v>25940</v>
      </c>
      <c r="E26" s="518">
        <f>C26-D26</f>
        <v>2369</v>
      </c>
    </row>
    <row r="27" spans="1:5" s="96" customFormat="1" ht="21" customHeight="1">
      <c r="A27" s="516">
        <f>A28</f>
        <v>0</v>
      </c>
      <c r="B27" s="517" t="s">
        <v>571</v>
      </c>
      <c r="C27" s="517">
        <f>C28</f>
        <v>0</v>
      </c>
      <c r="D27" s="517">
        <f>D28</f>
        <v>0</v>
      </c>
      <c r="E27" s="518">
        <f>E28</f>
        <v>0</v>
      </c>
    </row>
    <row r="28" spans="1:5" ht="21" customHeight="1">
      <c r="A28" s="516">
        <v>0</v>
      </c>
      <c r="B28" s="520" t="s">
        <v>572</v>
      </c>
      <c r="C28" s="517">
        <v>0</v>
      </c>
      <c r="D28" s="517">
        <v>0</v>
      </c>
      <c r="E28" s="518">
        <f>C28-D28</f>
        <v>0</v>
      </c>
    </row>
    <row r="29" spans="1:5" ht="20.100000000000001" customHeight="1">
      <c r="A29" s="516"/>
      <c r="B29" s="520"/>
      <c r="C29" s="517"/>
      <c r="D29" s="517"/>
      <c r="E29" s="518"/>
    </row>
    <row r="30" spans="1:5" s="96" customFormat="1" ht="20.100000000000001" customHeight="1">
      <c r="A30" s="743">
        <f>A31</f>
        <v>31833</v>
      </c>
      <c r="B30" s="517" t="s">
        <v>174</v>
      </c>
      <c r="C30" s="719">
        <f t="shared" ref="C30:E31" si="0">C31</f>
        <v>12639</v>
      </c>
      <c r="D30" s="719">
        <f t="shared" si="0"/>
        <v>20270</v>
      </c>
      <c r="E30" s="518">
        <f t="shared" si="0"/>
        <v>-7631</v>
      </c>
    </row>
    <row r="31" spans="1:5" s="96" customFormat="1" ht="20.100000000000001" customHeight="1">
      <c r="A31" s="743">
        <f>A32</f>
        <v>31833</v>
      </c>
      <c r="B31" s="517" t="s">
        <v>575</v>
      </c>
      <c r="C31" s="719">
        <f t="shared" si="0"/>
        <v>12639</v>
      </c>
      <c r="D31" s="719">
        <f t="shared" si="0"/>
        <v>20270</v>
      </c>
      <c r="E31" s="518">
        <f t="shared" si="0"/>
        <v>-7631</v>
      </c>
    </row>
    <row r="32" spans="1:5" ht="21" customHeight="1">
      <c r="A32" s="744">
        <v>31833</v>
      </c>
      <c r="B32" s="459" t="s">
        <v>576</v>
      </c>
      <c r="C32" s="762">
        <f>12839-200</f>
        <v>12639</v>
      </c>
      <c r="D32" s="735">
        <f>A32-11563</f>
        <v>20270</v>
      </c>
      <c r="E32" s="518">
        <f>C32-D32</f>
        <v>-7631</v>
      </c>
    </row>
    <row r="33" spans="1:5" ht="20.100000000000001" customHeight="1">
      <c r="A33" s="744"/>
      <c r="B33" s="459"/>
      <c r="C33" s="459"/>
      <c r="D33" s="459"/>
      <c r="E33" s="518"/>
    </row>
    <row r="34" spans="1:5" s="96" customFormat="1" ht="20.100000000000001" customHeight="1">
      <c r="A34" s="743">
        <f>A35</f>
        <v>1</v>
      </c>
      <c r="B34" s="517" t="s">
        <v>577</v>
      </c>
      <c r="C34" s="719">
        <f t="shared" ref="C34:E35" si="1">C35</f>
        <v>1</v>
      </c>
      <c r="D34" s="719">
        <f t="shared" si="1"/>
        <v>1</v>
      </c>
      <c r="E34" s="518">
        <f t="shared" si="1"/>
        <v>0</v>
      </c>
    </row>
    <row r="35" spans="1:5" s="96" customFormat="1" ht="20.100000000000001" customHeight="1">
      <c r="A35" s="743">
        <f>A36</f>
        <v>1</v>
      </c>
      <c r="B35" s="517" t="s">
        <v>578</v>
      </c>
      <c r="C35" s="719">
        <f t="shared" si="1"/>
        <v>1</v>
      </c>
      <c r="D35" s="719">
        <f t="shared" si="1"/>
        <v>1</v>
      </c>
      <c r="E35" s="518">
        <f t="shared" si="1"/>
        <v>0</v>
      </c>
    </row>
    <row r="36" spans="1:5">
      <c r="A36" s="744">
        <v>1</v>
      </c>
      <c r="B36" s="459" t="s">
        <v>520</v>
      </c>
      <c r="C36" s="719">
        <v>1</v>
      </c>
      <c r="D36" s="719">
        <f>A36</f>
        <v>1</v>
      </c>
      <c r="E36" s="518">
        <f>C36-D36</f>
        <v>0</v>
      </c>
    </row>
    <row r="37" spans="1:5" s="96" customFormat="1" ht="20.100000000000001" customHeight="1">
      <c r="A37" s="747">
        <f>A7</f>
        <v>494476</v>
      </c>
      <c r="B37" s="523" t="s">
        <v>580</v>
      </c>
      <c r="C37" s="524">
        <f>C7</f>
        <v>510831</v>
      </c>
      <c r="D37" s="524">
        <f>D7</f>
        <v>506068</v>
      </c>
      <c r="E37" s="525">
        <f>E7</f>
        <v>4763</v>
      </c>
    </row>
    <row r="38" spans="1:5" s="96" customFormat="1" ht="7.5" customHeight="1">
      <c r="A38" s="522"/>
      <c r="B38" s="523"/>
      <c r="C38" s="524"/>
      <c r="D38" s="524"/>
      <c r="E38" s="525"/>
    </row>
    <row r="39" spans="1:5" ht="20.100000000000001" customHeight="1">
      <c r="A39" s="747">
        <f>A40+A50-1</f>
        <v>266081</v>
      </c>
      <c r="B39" s="523" t="s">
        <v>435</v>
      </c>
      <c r="C39" s="524">
        <f>C40+C50</f>
        <v>257371</v>
      </c>
      <c r="D39" s="524">
        <f>D40+D50</f>
        <v>268171</v>
      </c>
      <c r="E39" s="525">
        <f>E40+E50</f>
        <v>-10800</v>
      </c>
    </row>
    <row r="40" spans="1:5" ht="20.100000000000001" customHeight="1">
      <c r="A40" s="750">
        <f>A41+A47+1</f>
        <v>246690</v>
      </c>
      <c r="B40" s="517" t="s">
        <v>550</v>
      </c>
      <c r="C40" s="517">
        <f>C41+C47</f>
        <v>237929</v>
      </c>
      <c r="D40" s="517">
        <f>D41+D47</f>
        <v>249279</v>
      </c>
      <c r="E40" s="518">
        <f>E41+E47</f>
        <v>-11350</v>
      </c>
    </row>
    <row r="41" spans="1:5" ht="20.100000000000001" customHeight="1">
      <c r="A41" s="743">
        <f>SUM(A42:A46)</f>
        <v>135761</v>
      </c>
      <c r="B41" s="517" t="s">
        <v>551</v>
      </c>
      <c r="C41" s="719">
        <f>SUM(C42:C46)</f>
        <v>124929</v>
      </c>
      <c r="D41" s="517">
        <f>SUM(D42:D46)</f>
        <v>138351</v>
      </c>
      <c r="E41" s="518">
        <f>SUM(E42:E46)</f>
        <v>-13422</v>
      </c>
    </row>
    <row r="42" spans="1:5" ht="21" customHeight="1">
      <c r="A42" s="744">
        <v>530</v>
      </c>
      <c r="B42" s="459" t="s">
        <v>521</v>
      </c>
      <c r="C42" s="719">
        <v>330</v>
      </c>
      <c r="D42" s="517">
        <f>A42</f>
        <v>530</v>
      </c>
      <c r="E42" s="518">
        <f>C42-D42</f>
        <v>-200</v>
      </c>
    </row>
    <row r="43" spans="1:5" ht="21" customHeight="1">
      <c r="A43" s="744">
        <v>20371</v>
      </c>
      <c r="B43" s="459" t="s">
        <v>555</v>
      </c>
      <c r="C43" s="719">
        <v>16076</v>
      </c>
      <c r="D43" s="517">
        <f>A43+590</f>
        <v>20961</v>
      </c>
      <c r="E43" s="518">
        <f>C43-D43</f>
        <v>-4885</v>
      </c>
    </row>
    <row r="44" spans="1:5" ht="21" customHeight="1">
      <c r="A44" s="744">
        <v>111820</v>
      </c>
      <c r="B44" s="459" t="s">
        <v>557</v>
      </c>
      <c r="C44" s="719">
        <v>104640</v>
      </c>
      <c r="D44" s="517">
        <f>A44+1000</f>
        <v>112820</v>
      </c>
      <c r="E44" s="518">
        <f>C44-D44</f>
        <v>-8180</v>
      </c>
    </row>
    <row r="45" spans="1:5" ht="21" customHeight="1">
      <c r="A45" s="744"/>
      <c r="B45" s="459" t="s">
        <v>559</v>
      </c>
      <c r="C45" s="719">
        <v>0</v>
      </c>
      <c r="D45" s="517">
        <v>0</v>
      </c>
      <c r="E45" s="518">
        <f>C45-D45</f>
        <v>0</v>
      </c>
    </row>
    <row r="46" spans="1:5" ht="21" customHeight="1">
      <c r="A46" s="744">
        <v>3040</v>
      </c>
      <c r="B46" s="459" t="s">
        <v>525</v>
      </c>
      <c r="C46" s="719">
        <v>3883</v>
      </c>
      <c r="D46" s="517">
        <f>A46+1000</f>
        <v>4040</v>
      </c>
      <c r="E46" s="518">
        <f>C46-D46</f>
        <v>-157</v>
      </c>
    </row>
    <row r="47" spans="1:5" ht="20.100000000000001" customHeight="1">
      <c r="A47" s="743">
        <f>A48</f>
        <v>110928</v>
      </c>
      <c r="B47" s="517" t="s">
        <v>563</v>
      </c>
      <c r="C47" s="719">
        <f>SUM(C48:C48)</f>
        <v>113000</v>
      </c>
      <c r="D47" s="517">
        <f>SUM(D48:D48)</f>
        <v>110928</v>
      </c>
      <c r="E47" s="518">
        <f>SUM(E48:E48)</f>
        <v>2072</v>
      </c>
    </row>
    <row r="48" spans="1:5" ht="21" customHeight="1">
      <c r="A48" s="744">
        <v>110928</v>
      </c>
      <c r="B48" s="459" t="s">
        <v>526</v>
      </c>
      <c r="C48" s="735">
        <v>113000</v>
      </c>
      <c r="D48" s="459">
        <f>A48</f>
        <v>110928</v>
      </c>
      <c r="E48" s="518">
        <f>C48-D48</f>
        <v>2072</v>
      </c>
    </row>
    <row r="49" spans="1:5" ht="21" customHeight="1">
      <c r="A49" s="744"/>
      <c r="B49" s="459"/>
      <c r="C49" s="459"/>
      <c r="D49" s="459"/>
      <c r="E49" s="518"/>
    </row>
    <row r="50" spans="1:5" ht="20.100000000000001" customHeight="1">
      <c r="A50" s="743">
        <f>A51</f>
        <v>19392</v>
      </c>
      <c r="B50" s="517" t="s">
        <v>566</v>
      </c>
      <c r="C50" s="719">
        <f>C51</f>
        <v>19442</v>
      </c>
      <c r="D50" s="517">
        <f>D51</f>
        <v>18892</v>
      </c>
      <c r="E50" s="518">
        <f>E51</f>
        <v>550</v>
      </c>
    </row>
    <row r="51" spans="1:5" ht="20.100000000000001" customHeight="1">
      <c r="A51" s="743">
        <v>19392</v>
      </c>
      <c r="B51" s="517" t="s">
        <v>567</v>
      </c>
      <c r="C51" s="719">
        <f>C52+C53</f>
        <v>19442</v>
      </c>
      <c r="D51" s="517">
        <f>D52+D53</f>
        <v>18892</v>
      </c>
      <c r="E51" s="518">
        <f>E52+E53</f>
        <v>550</v>
      </c>
    </row>
    <row r="52" spans="1:5" ht="21" customHeight="1">
      <c r="A52" s="744">
        <v>12554</v>
      </c>
      <c r="B52" s="459" t="s">
        <v>568</v>
      </c>
      <c r="C52" s="719">
        <v>12200</v>
      </c>
      <c r="D52" s="517">
        <f>A52-1000</f>
        <v>11554</v>
      </c>
      <c r="E52" s="518">
        <f>C52-D52</f>
        <v>646</v>
      </c>
    </row>
    <row r="53" spans="1:5" ht="21" customHeight="1">
      <c r="A53" s="744">
        <v>6838</v>
      </c>
      <c r="B53" s="459" t="s">
        <v>569</v>
      </c>
      <c r="C53" s="719">
        <v>7242</v>
      </c>
      <c r="D53" s="517">
        <f>A53+500</f>
        <v>7338</v>
      </c>
      <c r="E53" s="518">
        <f>C53-D53</f>
        <v>-96</v>
      </c>
    </row>
    <row r="54" spans="1:5" ht="21" customHeight="1">
      <c r="A54" s="491"/>
      <c r="B54" s="459"/>
      <c r="C54" s="517"/>
      <c r="D54" s="517"/>
      <c r="E54" s="518"/>
    </row>
    <row r="55" spans="1:5" ht="21" customHeight="1">
      <c r="A55" s="491"/>
      <c r="B55" s="459"/>
      <c r="C55" s="517"/>
      <c r="D55" s="517"/>
      <c r="E55" s="518"/>
    </row>
    <row r="56" spans="1:5" ht="21" customHeight="1">
      <c r="A56" s="491"/>
      <c r="B56" s="459"/>
      <c r="C56" s="517"/>
      <c r="D56" s="517"/>
      <c r="E56" s="518"/>
    </row>
    <row r="57" spans="1:5" ht="21" customHeight="1">
      <c r="A57" s="493"/>
      <c r="B57" s="458"/>
      <c r="C57" s="458"/>
      <c r="D57" s="458"/>
      <c r="E57" s="526"/>
    </row>
    <row r="58" spans="1:5" ht="20.100000000000001" customHeight="1">
      <c r="A58" s="747">
        <f>A59+A63+A67</f>
        <v>228395</v>
      </c>
      <c r="B58" s="523" t="s">
        <v>445</v>
      </c>
      <c r="C58" s="729">
        <f>C59+C63+C67</f>
        <v>247729</v>
      </c>
      <c r="D58" s="729">
        <f>D59+D63+D67</f>
        <v>237897</v>
      </c>
      <c r="E58" s="525">
        <f>E59+E67</f>
        <v>9832</v>
      </c>
    </row>
    <row r="59" spans="1:5" ht="20.100000000000001" customHeight="1">
      <c r="A59" s="743">
        <f>A60</f>
        <v>127203</v>
      </c>
      <c r="B59" s="517" t="s">
        <v>137</v>
      </c>
      <c r="C59" s="719">
        <f t="shared" ref="C59:E60" si="2">C60</f>
        <v>127203</v>
      </c>
      <c r="D59" s="719">
        <f t="shared" si="2"/>
        <v>127203</v>
      </c>
      <c r="E59" s="518">
        <f t="shared" si="2"/>
        <v>0</v>
      </c>
    </row>
    <row r="60" spans="1:5" ht="20.100000000000001" customHeight="1">
      <c r="A60" s="743">
        <f>A61</f>
        <v>127203</v>
      </c>
      <c r="B60" s="517" t="s">
        <v>138</v>
      </c>
      <c r="C60" s="719">
        <f t="shared" si="2"/>
        <v>127203</v>
      </c>
      <c r="D60" s="719">
        <f t="shared" si="2"/>
        <v>127203</v>
      </c>
      <c r="E60" s="518">
        <f t="shared" si="2"/>
        <v>0</v>
      </c>
    </row>
    <row r="61" spans="1:5" ht="21" customHeight="1">
      <c r="A61" s="744">
        <v>127203</v>
      </c>
      <c r="B61" s="459" t="s">
        <v>139</v>
      </c>
      <c r="C61" s="735">
        <v>127203</v>
      </c>
      <c r="D61" s="735">
        <f>A61</f>
        <v>127203</v>
      </c>
      <c r="E61" s="518">
        <f>C61-D61</f>
        <v>0</v>
      </c>
    </row>
    <row r="62" spans="1:5" ht="21" customHeight="1">
      <c r="A62" s="744"/>
      <c r="B62" s="459"/>
      <c r="C62" s="735"/>
      <c r="D62" s="735"/>
      <c r="E62" s="518"/>
    </row>
    <row r="63" spans="1:5" ht="21" customHeight="1">
      <c r="A63" s="743">
        <f>A64</f>
        <v>160</v>
      </c>
      <c r="B63" s="517" t="s">
        <v>824</v>
      </c>
      <c r="C63" s="735">
        <f>C64</f>
        <v>160</v>
      </c>
      <c r="D63" s="735">
        <f>D64</f>
        <v>160</v>
      </c>
      <c r="E63" s="518"/>
    </row>
    <row r="64" spans="1:5" ht="21" customHeight="1">
      <c r="A64" s="743">
        <f>A65</f>
        <v>160</v>
      </c>
      <c r="B64" s="517" t="s">
        <v>825</v>
      </c>
      <c r="C64" s="735">
        <f>C65</f>
        <v>160</v>
      </c>
      <c r="D64" s="735">
        <f>D65</f>
        <v>160</v>
      </c>
      <c r="E64" s="518"/>
    </row>
    <row r="65" spans="1:5" ht="21" customHeight="1">
      <c r="A65" s="744">
        <v>160</v>
      </c>
      <c r="B65" s="527" t="s">
        <v>826</v>
      </c>
      <c r="C65" s="735">
        <v>160</v>
      </c>
      <c r="D65" s="735">
        <v>160</v>
      </c>
      <c r="E65" s="518"/>
    </row>
    <row r="66" spans="1:5" ht="21" customHeight="1">
      <c r="A66" s="744"/>
      <c r="B66" s="459"/>
      <c r="C66" s="459"/>
      <c r="D66" s="735"/>
      <c r="E66" s="518"/>
    </row>
    <row r="67" spans="1:5" ht="20.100000000000001" customHeight="1">
      <c r="A67" s="743">
        <f>A68</f>
        <v>101032</v>
      </c>
      <c r="B67" s="517" t="s">
        <v>574</v>
      </c>
      <c r="C67" s="719">
        <f>C68</f>
        <v>120366</v>
      </c>
      <c r="D67" s="719">
        <f>D68</f>
        <v>110534</v>
      </c>
      <c r="E67" s="518">
        <f>E68</f>
        <v>9832</v>
      </c>
    </row>
    <row r="68" spans="1:5" ht="20.100000000000001" customHeight="1">
      <c r="A68" s="743">
        <f>SUM(A69)</f>
        <v>101032</v>
      </c>
      <c r="B68" s="517" t="s">
        <v>140</v>
      </c>
      <c r="C68" s="719">
        <f>SUM(C69)</f>
        <v>120366</v>
      </c>
      <c r="D68" s="719">
        <f>SUM(D69)</f>
        <v>110534</v>
      </c>
      <c r="E68" s="518">
        <f>SUM(E69)</f>
        <v>9832</v>
      </c>
    </row>
    <row r="69" spans="1:5" ht="21" customHeight="1">
      <c r="A69" s="745">
        <v>101032</v>
      </c>
      <c r="B69" s="527" t="s">
        <v>141</v>
      </c>
      <c r="C69" s="763">
        <f>D69+9832</f>
        <v>120366</v>
      </c>
      <c r="D69" s="749">
        <f>A69+9502</f>
        <v>110534</v>
      </c>
      <c r="E69" s="518">
        <f>C69-D69</f>
        <v>9832</v>
      </c>
    </row>
    <row r="70" spans="1:5" ht="21" customHeight="1">
      <c r="A70" s="745"/>
      <c r="B70" s="527"/>
      <c r="C70" s="527"/>
      <c r="D70" s="527"/>
      <c r="E70" s="518"/>
    </row>
    <row r="71" spans="1:5" ht="20.100000000000001" customHeight="1" thickBot="1">
      <c r="A71" s="748">
        <f>A39+A58</f>
        <v>494476</v>
      </c>
      <c r="B71" s="528" t="s">
        <v>581</v>
      </c>
      <c r="C71" s="529">
        <f>C39+C58</f>
        <v>505100</v>
      </c>
      <c r="D71" s="529">
        <f>D39+D58</f>
        <v>506068</v>
      </c>
      <c r="E71" s="530">
        <f>E39+E58</f>
        <v>-968</v>
      </c>
    </row>
    <row r="72" spans="1:5">
      <c r="A72" s="753" t="s">
        <v>981</v>
      </c>
      <c r="B72" s="754"/>
      <c r="C72" s="753"/>
      <c r="D72" s="754"/>
      <c r="E72" s="753"/>
    </row>
  </sheetData>
  <mergeCells count="5">
    <mergeCell ref="A1:E1"/>
    <mergeCell ref="A2:E2"/>
    <mergeCell ref="A3:E3"/>
    <mergeCell ref="A4:E4"/>
    <mergeCell ref="A5:E5"/>
  </mergeCells>
  <phoneticPr fontId="14" type="noConversion"/>
  <printOptions horizontalCentered="1"/>
  <pageMargins left="0.6692913385826772" right="0.6692913385826772" top="0.59055118110236227" bottom="0.59055118110236227" header="0.51181102362204722" footer="0.51181102362204722"/>
  <pageSetup paperSize="9" scale="87" firstPageNumber="36" orientation="portrait" blackAndWhite="1" useFirstPageNumber="1" r:id="rId1"/>
  <headerFooter alignWithMargins="0">
    <oddFooter>&amp;C&amp;"Arial Unicode MS,標準"&amp;P</oddFooter>
  </headerFooter>
  <legacyDrawing r:id="rId2"/>
</worksheet>
</file>

<file path=xl/worksheets/sheet38.xml><?xml version="1.0" encoding="utf-8"?>
<worksheet xmlns="http://schemas.openxmlformats.org/spreadsheetml/2006/main" xmlns:r="http://schemas.openxmlformats.org/officeDocument/2006/relationships">
  <sheetPr codeName="Sheet40"/>
  <dimension ref="A1:J35"/>
  <sheetViews>
    <sheetView workbookViewId="0">
      <selection activeCell="D18" sqref="D18"/>
    </sheetView>
  </sheetViews>
  <sheetFormatPr defaultColWidth="9" defaultRowHeight="16.2"/>
  <cols>
    <col min="1" max="1" width="19.44140625" style="1" customWidth="1"/>
    <col min="2" max="2" width="5.88671875" style="1" customWidth="1"/>
    <col min="3" max="3" width="9.109375" style="1" customWidth="1"/>
    <col min="4" max="4" width="11.33203125" style="1" customWidth="1"/>
    <col min="5" max="5" width="10.77734375" style="1" customWidth="1"/>
    <col min="6" max="6" width="34.6640625" style="1" customWidth="1"/>
    <col min="7" max="16384" width="9" style="1"/>
  </cols>
  <sheetData>
    <row r="1" spans="1:10" ht="24.6">
      <c r="A1" s="986" t="s">
        <v>369</v>
      </c>
      <c r="B1" s="986"/>
      <c r="C1" s="986"/>
      <c r="D1" s="986"/>
      <c r="E1" s="986"/>
      <c r="F1" s="986"/>
      <c r="G1" s="3"/>
      <c r="H1" s="3"/>
      <c r="I1" s="3"/>
      <c r="J1" s="3"/>
    </row>
    <row r="2" spans="1:10" ht="22.2">
      <c r="A2" s="987" t="s">
        <v>370</v>
      </c>
      <c r="B2" s="987"/>
      <c r="C2" s="987"/>
      <c r="D2" s="987"/>
      <c r="E2" s="987"/>
      <c r="F2" s="987"/>
      <c r="G2" s="4"/>
      <c r="H2" s="4"/>
      <c r="I2" s="4"/>
      <c r="J2" s="4"/>
    </row>
    <row r="3" spans="1:10" ht="22.2">
      <c r="A3" s="988" t="s">
        <v>371</v>
      </c>
      <c r="B3" s="988"/>
      <c r="C3" s="988"/>
      <c r="D3" s="988"/>
      <c r="E3" s="988"/>
      <c r="F3" s="988"/>
      <c r="G3" s="5"/>
      <c r="H3" s="5"/>
      <c r="I3" s="5"/>
      <c r="J3" s="5"/>
    </row>
    <row r="4" spans="1:10" s="168" customFormat="1" ht="19.8">
      <c r="A4" s="989" t="s">
        <v>1086</v>
      </c>
      <c r="B4" s="989"/>
      <c r="C4" s="989"/>
      <c r="D4" s="989"/>
      <c r="E4" s="989"/>
      <c r="F4" s="989"/>
      <c r="G4" s="5"/>
      <c r="H4" s="5"/>
      <c r="I4" s="5"/>
      <c r="J4" s="5"/>
    </row>
    <row r="5" spans="1:10" ht="16.8" thickBot="1">
      <c r="A5" s="3"/>
      <c r="B5" s="3"/>
      <c r="C5" s="3"/>
      <c r="D5" s="3"/>
      <c r="F5" s="11" t="s">
        <v>641</v>
      </c>
      <c r="G5" s="3"/>
    </row>
    <row r="6" spans="1:10" ht="42" customHeight="1">
      <c r="A6" s="177" t="s">
        <v>89</v>
      </c>
      <c r="B6" s="178" t="s">
        <v>91</v>
      </c>
      <c r="C6" s="178" t="s">
        <v>92</v>
      </c>
      <c r="D6" s="298" t="s">
        <v>376</v>
      </c>
      <c r="E6" s="178" t="s">
        <v>90</v>
      </c>
      <c r="F6" s="299" t="s">
        <v>372</v>
      </c>
    </row>
    <row r="7" spans="1:10" s="398" customFormat="1" ht="33" customHeight="1">
      <c r="A7" s="324" t="s">
        <v>56</v>
      </c>
      <c r="B7" s="431" t="s">
        <v>841</v>
      </c>
      <c r="C7" s="965">
        <f>C8</f>
        <v>479754</v>
      </c>
      <c r="D7" s="966">
        <f>D8</f>
        <v>1310.5674991766614</v>
      </c>
      <c r="E7" s="967">
        <f>SUM(E8:E9)</f>
        <v>628750</v>
      </c>
      <c r="F7" s="433" t="s">
        <v>151</v>
      </c>
    </row>
    <row r="8" spans="1:10" s="27" customFormat="1" ht="33" customHeight="1">
      <c r="A8" s="294" t="s">
        <v>694</v>
      </c>
      <c r="B8" s="431" t="s">
        <v>836</v>
      </c>
      <c r="C8" s="580">
        <f>'19.勞務收入明細'!D8</f>
        <v>479754</v>
      </c>
      <c r="D8" s="679">
        <f>(E8/C8)*1000</f>
        <v>1310.5674991766614</v>
      </c>
      <c r="E8" s="968">
        <f>'15.收支預計表'!D16</f>
        <v>628750</v>
      </c>
      <c r="F8" s="1270" t="s">
        <v>888</v>
      </c>
    </row>
    <row r="9" spans="1:10" s="27" customFormat="1">
      <c r="A9" s="295"/>
      <c r="B9" s="258"/>
      <c r="C9" s="579"/>
      <c r="D9" s="678"/>
      <c r="E9" s="582"/>
      <c r="F9" s="1271"/>
    </row>
    <row r="10" spans="1:10" s="27" customFormat="1">
      <c r="A10" s="326"/>
      <c r="B10" s="257"/>
      <c r="C10" s="580"/>
      <c r="D10" s="679"/>
      <c r="E10" s="583"/>
      <c r="F10" s="323"/>
    </row>
    <row r="11" spans="1:10" s="398" customFormat="1" ht="33" customHeight="1">
      <c r="A11" s="321" t="s">
        <v>57</v>
      </c>
      <c r="B11" s="431" t="s">
        <v>836</v>
      </c>
      <c r="C11" s="965">
        <f>C12</f>
        <v>477411</v>
      </c>
      <c r="D11" s="966">
        <f>D12</f>
        <v>1284.3084889120696</v>
      </c>
      <c r="E11" s="969">
        <f>SUM(E12:E13)</f>
        <v>613143</v>
      </c>
      <c r="F11" s="435"/>
    </row>
    <row r="12" spans="1:10" s="27" customFormat="1" ht="33" customHeight="1">
      <c r="A12" s="294" t="s">
        <v>695</v>
      </c>
      <c r="B12" s="431" t="s">
        <v>836</v>
      </c>
      <c r="C12" s="580">
        <v>477411</v>
      </c>
      <c r="D12" s="679">
        <f>(E12/C12)*1000</f>
        <v>1284.3084889120696</v>
      </c>
      <c r="E12" s="968">
        <v>613143</v>
      </c>
      <c r="F12" s="1270" t="s">
        <v>88</v>
      </c>
    </row>
    <row r="13" spans="1:10" s="27" customFormat="1" ht="33" customHeight="1">
      <c r="A13" s="295"/>
      <c r="B13" s="258"/>
      <c r="C13" s="579"/>
      <c r="D13" s="678"/>
      <c r="E13" s="582"/>
      <c r="F13" s="1271"/>
    </row>
    <row r="14" spans="1:10" s="398" customFormat="1" ht="33" customHeight="1">
      <c r="A14" s="321" t="s">
        <v>484</v>
      </c>
      <c r="B14" s="431" t="s">
        <v>836</v>
      </c>
      <c r="C14" s="965">
        <f>C15</f>
        <v>475810</v>
      </c>
      <c r="D14" s="966">
        <f>D15</f>
        <v>1179.1996805447552</v>
      </c>
      <c r="E14" s="969">
        <f>SUM(E15:E16)</f>
        <v>561075</v>
      </c>
      <c r="F14" s="435"/>
    </row>
    <row r="15" spans="1:10" s="27" customFormat="1" ht="33" customHeight="1">
      <c r="A15" s="294" t="s">
        <v>695</v>
      </c>
      <c r="B15" s="431" t="s">
        <v>836</v>
      </c>
      <c r="C15" s="580">
        <v>475810</v>
      </c>
      <c r="D15" s="679">
        <f>(E15/C15)*1000</f>
        <v>1179.1996805447552</v>
      </c>
      <c r="E15" s="968">
        <v>561075</v>
      </c>
      <c r="F15" s="1270" t="s">
        <v>888</v>
      </c>
    </row>
    <row r="16" spans="1:10" ht="33" customHeight="1">
      <c r="A16" s="294"/>
      <c r="B16" s="257"/>
      <c r="C16" s="579"/>
      <c r="D16" s="678"/>
      <c r="E16" s="584"/>
      <c r="F16" s="1271"/>
    </row>
    <row r="17" spans="1:6" ht="33" customHeight="1">
      <c r="A17" s="321" t="s">
        <v>1088</v>
      </c>
      <c r="B17" s="431" t="s">
        <v>836</v>
      </c>
      <c r="C17" s="965">
        <f>C18</f>
        <v>502894</v>
      </c>
      <c r="D17" s="966">
        <f>D18</f>
        <v>1178.9343281089057</v>
      </c>
      <c r="E17" s="969">
        <f>SUM(E18:E19)</f>
        <v>592879</v>
      </c>
      <c r="F17" s="435"/>
    </row>
    <row r="18" spans="1:6" ht="33" customHeight="1">
      <c r="A18" s="294" t="s">
        <v>694</v>
      </c>
      <c r="B18" s="431" t="s">
        <v>836</v>
      </c>
      <c r="C18" s="580">
        <v>502894</v>
      </c>
      <c r="D18" s="679">
        <f>(E18/C18)*1000</f>
        <v>1178.9343281089057</v>
      </c>
      <c r="E18" s="968">
        <v>592879</v>
      </c>
      <c r="F18" s="1270" t="s">
        <v>88</v>
      </c>
    </row>
    <row r="19" spans="1:6" ht="33" customHeight="1">
      <c r="A19" s="297"/>
      <c r="B19" s="8"/>
      <c r="C19" s="581"/>
      <c r="D19" s="680"/>
      <c r="E19" s="585"/>
      <c r="F19" s="1271"/>
    </row>
    <row r="20" spans="1:6" s="398" customFormat="1" ht="33" customHeight="1">
      <c r="A20" s="321" t="s">
        <v>1087</v>
      </c>
      <c r="B20" s="431" t="s">
        <v>836</v>
      </c>
      <c r="C20" s="965">
        <f>C21</f>
        <v>538237</v>
      </c>
      <c r="D20" s="966">
        <f>D21</f>
        <v>1206.1266691067319</v>
      </c>
      <c r="E20" s="969">
        <f>SUM(E21:E22)</f>
        <v>649182</v>
      </c>
      <c r="F20" s="435"/>
    </row>
    <row r="21" spans="1:6" s="27" customFormat="1" ht="33" customHeight="1">
      <c r="A21" s="294" t="s">
        <v>695</v>
      </c>
      <c r="B21" s="431" t="s">
        <v>836</v>
      </c>
      <c r="C21" s="580">
        <v>538237</v>
      </c>
      <c r="D21" s="679">
        <f>(E21/C21)*1000</f>
        <v>1206.1266691067319</v>
      </c>
      <c r="E21" s="968">
        <v>649182</v>
      </c>
      <c r="F21" s="1270" t="s">
        <v>713</v>
      </c>
    </row>
    <row r="22" spans="1:6" ht="16.5" customHeight="1">
      <c r="A22" s="297"/>
      <c r="B22" s="8"/>
      <c r="C22" s="577"/>
      <c r="D22" s="10"/>
      <c r="E22" s="259"/>
      <c r="F22" s="1271"/>
    </row>
    <row r="23" spans="1:6" ht="16.5" customHeight="1">
      <c r="A23" s="296"/>
      <c r="B23" s="256"/>
      <c r="C23" s="577"/>
      <c r="D23" s="10"/>
      <c r="E23" s="319"/>
      <c r="F23" s="19"/>
    </row>
    <row r="24" spans="1:6" ht="16.5" customHeight="1">
      <c r="A24" s="294"/>
      <c r="B24" s="257"/>
      <c r="C24" s="576"/>
      <c r="D24" s="23"/>
      <c r="E24" s="320"/>
      <c r="F24" s="19"/>
    </row>
    <row r="25" spans="1:6" ht="16.5" customHeight="1">
      <c r="A25" s="260"/>
      <c r="B25" s="256"/>
      <c r="C25" s="577"/>
      <c r="D25" s="10"/>
      <c r="E25" s="259"/>
      <c r="F25" s="19"/>
    </row>
    <row r="26" spans="1:6" ht="16.5" customHeight="1">
      <c r="A26" s="260"/>
      <c r="B26" s="256"/>
      <c r="C26" s="577"/>
      <c r="D26" s="10"/>
      <c r="E26" s="259"/>
      <c r="F26" s="19"/>
    </row>
    <row r="27" spans="1:6" ht="16.5" customHeight="1">
      <c r="A27" s="260"/>
      <c r="B27" s="256"/>
      <c r="C27" s="577"/>
      <c r="D27" s="10"/>
      <c r="E27" s="259"/>
      <c r="F27" s="19"/>
    </row>
    <row r="28" spans="1:6" ht="16.5" customHeight="1">
      <c r="A28" s="179"/>
      <c r="B28" s="8"/>
      <c r="C28" s="577"/>
      <c r="D28" s="10"/>
      <c r="E28" s="7"/>
      <c r="F28" s="19"/>
    </row>
    <row r="29" spans="1:6" ht="16.5" customHeight="1">
      <c r="A29" s="180"/>
      <c r="B29" s="10"/>
      <c r="C29" s="577"/>
      <c r="D29" s="10"/>
      <c r="E29" s="7"/>
      <c r="F29" s="19"/>
    </row>
    <row r="30" spans="1:6" ht="16.5" customHeight="1">
      <c r="A30" s="180"/>
      <c r="B30" s="10"/>
      <c r="C30" s="577"/>
      <c r="D30" s="10"/>
      <c r="E30" s="7"/>
      <c r="F30" s="19"/>
    </row>
    <row r="31" spans="1:6" ht="16.5" customHeight="1">
      <c r="A31" s="180"/>
      <c r="B31" s="10"/>
      <c r="C31" s="577"/>
      <c r="D31" s="10"/>
      <c r="E31" s="7"/>
      <c r="F31" s="19"/>
    </row>
    <row r="32" spans="1:6" ht="16.5" customHeight="1">
      <c r="A32" s="179"/>
      <c r="B32" s="20"/>
      <c r="C32" s="577"/>
      <c r="D32" s="10"/>
      <c r="E32" s="7"/>
      <c r="F32" s="19"/>
    </row>
    <row r="33" spans="1:6" ht="21.6" customHeight="1" thickBot="1">
      <c r="A33" s="101"/>
      <c r="B33" s="17"/>
      <c r="C33" s="578"/>
      <c r="D33" s="17"/>
      <c r="E33" s="26"/>
      <c r="F33" s="28"/>
    </row>
    <row r="35" spans="1:6">
      <c r="D35"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5" firstPageNumber="38" orientation="portrait" blackAndWhite="1" useFirstPageNumber="1" r:id="rId1"/>
  <headerFooter scaleWithDoc="0" alignWithMargins="0">
    <oddFooter>&amp;C&amp;"Arial Unicode MS,標準"&amp;P</oddFooter>
  </headerFooter>
</worksheet>
</file>

<file path=xl/worksheets/sheet39.xml><?xml version="1.0" encoding="utf-8"?>
<worksheet xmlns="http://schemas.openxmlformats.org/spreadsheetml/2006/main" xmlns:r="http://schemas.openxmlformats.org/officeDocument/2006/relationships">
  <sheetPr codeName="Sheet41" enableFormatConditionsCalculation="0"/>
  <dimension ref="A1:J34"/>
  <sheetViews>
    <sheetView view="pageBreakPreview" zoomScale="60" zoomScaleNormal="100" workbookViewId="0">
      <selection activeCell="E18" sqref="E18"/>
    </sheetView>
  </sheetViews>
  <sheetFormatPr defaultColWidth="9" defaultRowHeight="16.2"/>
  <cols>
    <col min="1" max="1" width="20.21875" style="1" customWidth="1"/>
    <col min="2" max="2" width="5.44140625" style="1" customWidth="1"/>
    <col min="3" max="3" width="12.5546875" style="1" bestFit="1" customWidth="1"/>
    <col min="4" max="4" width="11.21875" style="1" customWidth="1"/>
    <col min="5" max="5" width="12.6640625" style="1" customWidth="1"/>
    <col min="6" max="6" width="34.6640625" style="1" customWidth="1"/>
    <col min="7" max="16384" width="9" style="1"/>
  </cols>
  <sheetData>
    <row r="1" spans="1:10" ht="24.6">
      <c r="A1" s="986" t="s">
        <v>369</v>
      </c>
      <c r="B1" s="986"/>
      <c r="C1" s="986"/>
      <c r="D1" s="986"/>
      <c r="E1" s="986"/>
      <c r="F1" s="986"/>
      <c r="G1" s="3"/>
      <c r="H1" s="3"/>
      <c r="I1" s="3"/>
      <c r="J1" s="3"/>
    </row>
    <row r="2" spans="1:10" ht="22.2">
      <c r="A2" s="987" t="s">
        <v>370</v>
      </c>
      <c r="B2" s="987"/>
      <c r="C2" s="987"/>
      <c r="D2" s="987"/>
      <c r="E2" s="987"/>
      <c r="F2" s="987"/>
      <c r="G2" s="4"/>
      <c r="H2" s="4"/>
      <c r="I2" s="4"/>
      <c r="J2" s="4"/>
    </row>
    <row r="3" spans="1:10" ht="22.2">
      <c r="A3" s="988" t="s">
        <v>371</v>
      </c>
      <c r="B3" s="988"/>
      <c r="C3" s="988"/>
      <c r="D3" s="988"/>
      <c r="E3" s="988"/>
      <c r="F3" s="988"/>
      <c r="G3" s="5"/>
      <c r="H3" s="5"/>
      <c r="I3" s="5"/>
      <c r="J3" s="5"/>
    </row>
    <row r="4" spans="1:10" s="168" customFormat="1" ht="19.8">
      <c r="A4" s="989" t="s">
        <v>822</v>
      </c>
      <c r="B4" s="989"/>
      <c r="C4" s="989"/>
      <c r="D4" s="989"/>
      <c r="E4" s="989"/>
      <c r="F4" s="989"/>
      <c r="G4" s="5"/>
      <c r="H4" s="5"/>
      <c r="I4" s="5"/>
      <c r="J4" s="5"/>
    </row>
    <row r="5" spans="1:10" ht="16.8" thickBot="1">
      <c r="A5" s="3"/>
      <c r="B5" s="3"/>
      <c r="C5" s="3"/>
      <c r="D5" s="3"/>
      <c r="F5" s="11" t="s">
        <v>641</v>
      </c>
      <c r="G5" s="3"/>
    </row>
    <row r="6" spans="1:10" ht="42" customHeight="1">
      <c r="A6" s="177" t="s">
        <v>532</v>
      </c>
      <c r="B6" s="178" t="s">
        <v>533</v>
      </c>
      <c r="C6" s="178" t="s">
        <v>534</v>
      </c>
      <c r="D6" s="298" t="s">
        <v>535</v>
      </c>
      <c r="E6" s="178" t="s">
        <v>536</v>
      </c>
      <c r="F6" s="299" t="s">
        <v>537</v>
      </c>
    </row>
    <row r="7" spans="1:10" s="398" customFormat="1" ht="33" customHeight="1">
      <c r="A7" s="324" t="s">
        <v>56</v>
      </c>
      <c r="B7" s="431" t="s">
        <v>842</v>
      </c>
      <c r="C7" s="589">
        <f>C8</f>
        <v>500824</v>
      </c>
      <c r="D7" s="682">
        <f>D8</f>
        <v>1255.4310496302094</v>
      </c>
      <c r="E7" s="432">
        <f>SUM(E8:E9)</f>
        <v>628750</v>
      </c>
      <c r="F7" s="433" t="s">
        <v>151</v>
      </c>
    </row>
    <row r="8" spans="1:10" s="27" customFormat="1" ht="33" customHeight="1">
      <c r="A8" s="294" t="s">
        <v>695</v>
      </c>
      <c r="B8" s="257" t="s">
        <v>842</v>
      </c>
      <c r="C8" s="586">
        <v>500824</v>
      </c>
      <c r="D8" s="678">
        <f>(E8/C8)*1000</f>
        <v>1255.4310496302094</v>
      </c>
      <c r="E8" s="325">
        <f>'15.收支預計表'!D16</f>
        <v>628750</v>
      </c>
      <c r="F8" s="1270" t="s">
        <v>806</v>
      </c>
    </row>
    <row r="9" spans="1:10" s="27" customFormat="1">
      <c r="A9" s="295"/>
      <c r="B9" s="258"/>
      <c r="C9" s="586"/>
      <c r="D9" s="678"/>
      <c r="E9" s="29"/>
      <c r="F9" s="1271"/>
    </row>
    <row r="10" spans="1:10" s="27" customFormat="1">
      <c r="A10" s="326"/>
      <c r="B10" s="257"/>
      <c r="C10" s="587"/>
      <c r="D10" s="679"/>
      <c r="E10" s="322"/>
      <c r="F10" s="323"/>
    </row>
    <row r="11" spans="1:10" s="398" customFormat="1" ht="33" customHeight="1">
      <c r="A11" s="321" t="s">
        <v>57</v>
      </c>
      <c r="B11" s="431" t="s">
        <v>842</v>
      </c>
      <c r="C11" s="588">
        <f>C12</f>
        <v>550011</v>
      </c>
      <c r="D11" s="677">
        <f>D12</f>
        <v>1288.6069551336245</v>
      </c>
      <c r="E11" s="434">
        <f>SUM(E12:E13)</f>
        <v>708748</v>
      </c>
      <c r="F11" s="435"/>
    </row>
    <row r="12" spans="1:10" s="27" customFormat="1" ht="33" customHeight="1">
      <c r="A12" s="294" t="s">
        <v>695</v>
      </c>
      <c r="B12" s="257" t="s">
        <v>842</v>
      </c>
      <c r="C12" s="586">
        <v>550011</v>
      </c>
      <c r="D12" s="678">
        <f>(E12/C12)*1000</f>
        <v>1288.6069551336245</v>
      </c>
      <c r="E12" s="325">
        <v>708748</v>
      </c>
      <c r="F12" s="1270" t="s">
        <v>88</v>
      </c>
    </row>
    <row r="13" spans="1:10" s="27" customFormat="1" ht="33" customHeight="1">
      <c r="A13" s="295"/>
      <c r="B13" s="258"/>
      <c r="C13" s="586"/>
      <c r="D13" s="678"/>
      <c r="E13" s="29"/>
      <c r="F13" s="1271"/>
    </row>
    <row r="14" spans="1:10" s="398" customFormat="1" ht="33" customHeight="1">
      <c r="A14" s="321" t="s">
        <v>538</v>
      </c>
      <c r="B14" s="431" t="s">
        <v>842</v>
      </c>
      <c r="C14" s="588">
        <v>688452</v>
      </c>
      <c r="D14" s="677">
        <f>(E14/C14)*1000</f>
        <v>1068.5392736167519</v>
      </c>
      <c r="E14" s="434">
        <v>735638</v>
      </c>
      <c r="F14" s="435"/>
    </row>
    <row r="15" spans="1:10" s="27" customFormat="1" ht="33" customHeight="1">
      <c r="A15" s="294" t="s">
        <v>695</v>
      </c>
      <c r="B15" s="257" t="s">
        <v>842</v>
      </c>
      <c r="C15" s="586">
        <v>538237</v>
      </c>
      <c r="D15" s="678">
        <f>(E15/C15)*1000</f>
        <v>1206.1266691067319</v>
      </c>
      <c r="E15" s="325">
        <v>649182</v>
      </c>
      <c r="F15" s="1270" t="s">
        <v>88</v>
      </c>
    </row>
    <row r="16" spans="1:10" ht="33" customHeight="1">
      <c r="A16" s="294"/>
      <c r="B16" s="257"/>
      <c r="C16" s="586"/>
      <c r="D16" s="678"/>
      <c r="E16" s="320"/>
      <c r="F16" s="1271"/>
    </row>
    <row r="17" spans="1:6" ht="33" customHeight="1">
      <c r="A17" s="321" t="s">
        <v>844</v>
      </c>
      <c r="B17" s="431" t="s">
        <v>842</v>
      </c>
      <c r="C17" s="588">
        <f>C18</f>
        <v>688452</v>
      </c>
      <c r="D17" s="677">
        <f>D18</f>
        <v>942.95753371331625</v>
      </c>
      <c r="E17" s="434">
        <f>SUM(E18:E19)</f>
        <v>735638</v>
      </c>
      <c r="F17" s="435"/>
    </row>
    <row r="18" spans="1:6" ht="33" customHeight="1">
      <c r="A18" s="294" t="s">
        <v>694</v>
      </c>
      <c r="B18" s="257" t="s">
        <v>842</v>
      </c>
      <c r="C18" s="586">
        <v>688452</v>
      </c>
      <c r="D18" s="678">
        <v>942.95753371331625</v>
      </c>
      <c r="E18" s="325">
        <v>735638</v>
      </c>
      <c r="F18" s="1270" t="s">
        <v>88</v>
      </c>
    </row>
    <row r="19" spans="1:6" ht="33" customHeight="1">
      <c r="A19" s="294"/>
      <c r="B19" s="257"/>
      <c r="C19" s="586"/>
      <c r="D19" s="678"/>
      <c r="E19" s="320"/>
      <c r="F19" s="1271"/>
    </row>
    <row r="20" spans="1:6" s="398" customFormat="1" ht="33" customHeight="1">
      <c r="A20" s="321" t="s">
        <v>843</v>
      </c>
      <c r="B20" s="431" t="s">
        <v>842</v>
      </c>
      <c r="C20" s="588">
        <f>C21</f>
        <v>794867</v>
      </c>
      <c r="D20" s="677">
        <f>D21</f>
        <v>1012.7115605503814</v>
      </c>
      <c r="E20" s="434">
        <f>SUM(E21:E22)</f>
        <v>804971</v>
      </c>
      <c r="F20" s="435"/>
    </row>
    <row r="21" spans="1:6" s="27" customFormat="1" ht="33" customHeight="1">
      <c r="A21" s="294" t="s">
        <v>695</v>
      </c>
      <c r="B21" s="257" t="s">
        <v>842</v>
      </c>
      <c r="C21" s="586">
        <v>794867</v>
      </c>
      <c r="D21" s="678">
        <f>(E21/C21)*1000</f>
        <v>1012.7115605503814</v>
      </c>
      <c r="E21" s="325">
        <v>804971</v>
      </c>
      <c r="F21" s="1270" t="s">
        <v>88</v>
      </c>
    </row>
    <row r="22" spans="1:6" ht="33" customHeight="1">
      <c r="A22" s="294"/>
      <c r="B22" s="257"/>
      <c r="C22" s="22"/>
      <c r="D22" s="23"/>
      <c r="E22" s="320"/>
      <c r="F22" s="1271"/>
    </row>
    <row r="23" spans="1:6" ht="16.5" customHeight="1">
      <c r="A23" s="297"/>
      <c r="B23" s="8"/>
      <c r="C23" s="8"/>
      <c r="D23" s="10"/>
      <c r="E23" s="259"/>
      <c r="F23" s="19"/>
    </row>
    <row r="24" spans="1:6" ht="16.5" customHeight="1">
      <c r="A24" s="296"/>
      <c r="B24" s="256"/>
      <c r="C24" s="8"/>
      <c r="D24" s="10"/>
      <c r="E24" s="319"/>
      <c r="F24" s="19"/>
    </row>
    <row r="25" spans="1:6" ht="16.5" customHeight="1">
      <c r="A25" s="294"/>
      <c r="B25" s="257"/>
      <c r="C25" s="22"/>
      <c r="D25" s="23"/>
      <c r="E25" s="320"/>
      <c r="F25" s="19"/>
    </row>
    <row r="26" spans="1:6" ht="16.5" customHeight="1">
      <c r="A26" s="180"/>
      <c r="B26" s="10"/>
      <c r="C26" s="8"/>
      <c r="D26" s="10"/>
      <c r="E26" s="7"/>
      <c r="F26" s="19"/>
    </row>
    <row r="27" spans="1:6" ht="16.5" customHeight="1">
      <c r="A27" s="180"/>
      <c r="B27" s="10"/>
      <c r="C27" s="8"/>
      <c r="D27" s="10"/>
      <c r="E27" s="7"/>
      <c r="F27" s="19"/>
    </row>
    <row r="28" spans="1:6" ht="16.5" customHeight="1">
      <c r="A28" s="180"/>
      <c r="B28" s="10"/>
      <c r="C28" s="8"/>
      <c r="D28" s="10"/>
      <c r="E28" s="7"/>
      <c r="F28" s="19"/>
    </row>
    <row r="29" spans="1:6" ht="16.5" customHeight="1">
      <c r="A29" s="180"/>
      <c r="B29" s="10"/>
      <c r="C29" s="8"/>
      <c r="D29" s="10"/>
      <c r="E29" s="7"/>
      <c r="F29" s="19"/>
    </row>
    <row r="30" spans="1:6" ht="16.5" customHeight="1">
      <c r="A30" s="180"/>
      <c r="B30" s="10"/>
      <c r="C30" s="8"/>
      <c r="D30" s="10"/>
      <c r="E30" s="7"/>
      <c r="F30" s="19"/>
    </row>
    <row r="31" spans="1:6" ht="16.5" customHeight="1">
      <c r="A31" s="180"/>
      <c r="B31" s="10"/>
      <c r="C31" s="8"/>
      <c r="D31" s="10"/>
      <c r="E31" s="7"/>
      <c r="F31" s="19"/>
    </row>
    <row r="32" spans="1:6" ht="31.5" customHeight="1" thickBot="1">
      <c r="A32" s="101"/>
      <c r="B32" s="17"/>
      <c r="C32" s="26"/>
      <c r="D32" s="17"/>
      <c r="E32" s="26"/>
      <c r="F32" s="28"/>
    </row>
    <row r="34" spans="4:4">
      <c r="D34"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1" firstPageNumber="36" orientation="portrait" useFirstPageNumber="1" r:id="rId1"/>
  <headerFooter alignWithMargins="0">
    <oddFooter>&amp;C&amp;"Arial Unicode MS,標準"&amp;P</oddFooter>
  </headerFooter>
</worksheet>
</file>

<file path=xl/worksheets/sheet4.xml><?xml version="1.0" encoding="utf-8"?>
<worksheet xmlns="http://schemas.openxmlformats.org/spreadsheetml/2006/main" xmlns:r="http://schemas.openxmlformats.org/officeDocument/2006/relationships">
  <sheetPr codeName="Sheet5">
    <tabColor rgb="FFFFFFCC"/>
  </sheetPr>
  <dimension ref="A1:E107"/>
  <sheetViews>
    <sheetView topLeftCell="A31" zoomScaleNormal="100" workbookViewId="0">
      <selection activeCell="C46" sqref="C46"/>
    </sheetView>
  </sheetViews>
  <sheetFormatPr defaultColWidth="23.109375" defaultRowHeight="16.2"/>
  <cols>
    <col min="1" max="1" width="5.21875" customWidth="1"/>
    <col min="2" max="2" width="21.109375" customWidth="1"/>
    <col min="3" max="3" width="15.88671875" customWidth="1"/>
    <col min="4" max="4" width="26.33203125" customWidth="1"/>
    <col min="5" max="5" width="16.21875" customWidth="1"/>
  </cols>
  <sheetData>
    <row r="1" spans="1:5" s="149" customFormat="1" ht="19.5" customHeight="1">
      <c r="B1" s="986" t="s">
        <v>145</v>
      </c>
      <c r="C1" s="986"/>
      <c r="D1" s="986"/>
      <c r="E1" s="986"/>
    </row>
    <row r="2" spans="1:5" s="167" customFormat="1" ht="22.2">
      <c r="B2" s="987" t="s">
        <v>238</v>
      </c>
      <c r="C2" s="987"/>
      <c r="D2" s="987"/>
      <c r="E2" s="987"/>
    </row>
    <row r="3" spans="1:5" s="167" customFormat="1" ht="22.2">
      <c r="B3" s="988" t="s">
        <v>253</v>
      </c>
      <c r="C3" s="988"/>
      <c r="D3" s="988"/>
      <c r="E3" s="988"/>
    </row>
    <row r="4" spans="1:5" s="168" customFormat="1" ht="19.8">
      <c r="B4" s="989" t="s">
        <v>1022</v>
      </c>
      <c r="C4" s="989"/>
      <c r="D4" s="989"/>
      <c r="E4" s="989"/>
    </row>
    <row r="5" spans="1:5" s="168" customFormat="1" ht="19.8">
      <c r="A5" s="5"/>
      <c r="B5" s="5"/>
      <c r="C5" s="5"/>
      <c r="D5" s="5"/>
      <c r="E5" s="5"/>
    </row>
    <row r="6" spans="1:5" s="1" customFormat="1" ht="22.2">
      <c r="B6" s="982" t="s">
        <v>1113</v>
      </c>
      <c r="C6" s="982"/>
      <c r="D6" s="982"/>
      <c r="E6" s="982"/>
    </row>
    <row r="7" spans="1:5" s="1" customFormat="1" ht="22.2">
      <c r="B7" s="995" t="s">
        <v>260</v>
      </c>
      <c r="C7" s="994"/>
      <c r="D7" s="994"/>
      <c r="E7" s="994"/>
    </row>
    <row r="8" spans="1:5" s="1" customFormat="1" ht="17.25" customHeight="1">
      <c r="B8" s="992"/>
      <c r="C8" s="992"/>
      <c r="D8" s="992"/>
      <c r="E8" s="992"/>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ht="12.6" customHeight="1"/>
    <row r="21" spans="2:5" s="1" customFormat="1" ht="10.5" customHeight="1"/>
    <row r="22" spans="2:5" s="1" customFormat="1" ht="26.25" customHeight="1">
      <c r="B22" s="990" t="s">
        <v>261</v>
      </c>
      <c r="C22" s="997"/>
      <c r="D22" s="997"/>
      <c r="E22" s="997"/>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row r="36" spans="2:5" s="1" customFormat="1" ht="20.25" customHeight="1">
      <c r="B36" s="10"/>
      <c r="C36" s="10"/>
      <c r="D36" s="10"/>
      <c r="E36" s="11" t="s">
        <v>239</v>
      </c>
    </row>
    <row r="37" spans="2:5" s="1" customFormat="1" ht="19.05" customHeight="1">
      <c r="B37" s="2" t="s">
        <v>262</v>
      </c>
      <c r="C37" s="14" t="s">
        <v>1109</v>
      </c>
      <c r="D37" s="2" t="s">
        <v>263</v>
      </c>
      <c r="E37" s="14" t="s">
        <v>1109</v>
      </c>
    </row>
    <row r="38" spans="2:5" s="1" customFormat="1" ht="19.05" customHeight="1">
      <c r="B38" s="190" t="s">
        <v>264</v>
      </c>
      <c r="C38" s="157">
        <f>SUM(C39:C40)</f>
        <v>639908</v>
      </c>
      <c r="D38" s="190" t="s">
        <v>265</v>
      </c>
      <c r="E38" s="550">
        <f>SUM(E39:E40)</f>
        <v>629849</v>
      </c>
    </row>
    <row r="39" spans="2:5" s="1" customFormat="1" ht="19.05" customHeight="1">
      <c r="B39" s="192" t="s">
        <v>266</v>
      </c>
      <c r="C39" s="157">
        <f>'15.收支預計表'!D9</f>
        <v>638809</v>
      </c>
      <c r="D39" s="192" t="s">
        <v>267</v>
      </c>
      <c r="E39" s="157">
        <f>'15.收支預計表'!D15</f>
        <v>628750</v>
      </c>
    </row>
    <row r="40" spans="2:5" s="1" customFormat="1" ht="19.05" customHeight="1">
      <c r="B40" s="192" t="s">
        <v>859</v>
      </c>
      <c r="C40" s="157">
        <v>1099</v>
      </c>
      <c r="D40" s="192" t="s">
        <v>860</v>
      </c>
      <c r="E40" s="157">
        <v>1099</v>
      </c>
    </row>
    <row r="41" spans="2:5" s="1" customFormat="1" ht="19.05" customHeight="1">
      <c r="B41" s="191" t="s">
        <v>268</v>
      </c>
      <c r="C41" s="157">
        <f>SUM(C42:C43)</f>
        <v>3700</v>
      </c>
      <c r="D41" s="191" t="s">
        <v>862</v>
      </c>
      <c r="E41" s="157">
        <f>E42</f>
        <v>60</v>
      </c>
    </row>
    <row r="42" spans="2:5" s="1" customFormat="1" ht="19.05" customHeight="1">
      <c r="B42" s="192" t="s">
        <v>441</v>
      </c>
      <c r="C42" s="920">
        <f>'15.收支預計表'!D21</f>
        <v>1700</v>
      </c>
      <c r="D42" s="192" t="s">
        <v>863</v>
      </c>
      <c r="E42" s="157">
        <f>'15.收支預計表'!D29</f>
        <v>60</v>
      </c>
    </row>
    <row r="43" spans="2:5" s="1" customFormat="1" ht="19.05" customHeight="1">
      <c r="B43" s="192" t="s">
        <v>861</v>
      </c>
      <c r="C43" s="920">
        <v>2000</v>
      </c>
      <c r="D43" s="191" t="s">
        <v>269</v>
      </c>
      <c r="E43" s="157">
        <f>'15.收支預計表'!D32</f>
        <v>13699</v>
      </c>
    </row>
    <row r="44" spans="2:5" s="1" customFormat="1" ht="19.05" customHeight="1">
      <c r="B44" s="2" t="s">
        <v>442</v>
      </c>
      <c r="C44" s="921">
        <f>C38+C41</f>
        <v>643608</v>
      </c>
      <c r="D44" s="2" t="s">
        <v>443</v>
      </c>
      <c r="E44" s="921">
        <f>SUM(E38,E41,E43)</f>
        <v>643608</v>
      </c>
    </row>
    <row r="45" spans="2:5" s="1" customFormat="1" ht="19.05" customHeight="1"/>
    <row r="46" spans="2:5" s="1" customFormat="1">
      <c r="B46" s="92" t="s">
        <v>864</v>
      </c>
      <c r="C46" s="169">
        <f>C39/$C$44+0.0001</f>
        <v>0.99264359796646406</v>
      </c>
      <c r="D46" s="301" t="s">
        <v>267</v>
      </c>
      <c r="E46" s="169">
        <f>E39/$E$44</f>
        <v>0.97691451939689999</v>
      </c>
    </row>
    <row r="47" spans="2:5" s="1" customFormat="1">
      <c r="B47" s="192" t="s">
        <v>866</v>
      </c>
      <c r="C47" s="169">
        <f>C40/$C$44</f>
        <v>1.7075611241625338E-3</v>
      </c>
      <c r="D47" s="192" t="s">
        <v>860</v>
      </c>
      <c r="E47" s="169">
        <f>E40/$E$44</f>
        <v>1.7075611241625338E-3</v>
      </c>
    </row>
    <row r="48" spans="2:5" s="1" customFormat="1">
      <c r="B48" s="92" t="s">
        <v>865</v>
      </c>
      <c r="C48" s="169">
        <f>C42/$C$44</f>
        <v>2.6413593367391333E-3</v>
      </c>
      <c r="D48" s="192" t="s">
        <v>863</v>
      </c>
      <c r="E48" s="169">
        <f>E42/$E$44</f>
        <v>9.3224447179028223E-5</v>
      </c>
    </row>
    <row r="49" spans="2:5" s="1" customFormat="1">
      <c r="B49" s="92" t="s">
        <v>867</v>
      </c>
      <c r="C49" s="169">
        <f>C43/$C$44</f>
        <v>3.1074815726342742E-3</v>
      </c>
      <c r="D49" s="237" t="s">
        <v>375</v>
      </c>
      <c r="E49" s="169">
        <f>E43/$E$44</f>
        <v>2.1284695031758463E-2</v>
      </c>
    </row>
    <row r="50" spans="2:5" s="1" customFormat="1"/>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c r="B103" s="1"/>
      <c r="C103" s="1"/>
      <c r="D103" s="1"/>
      <c r="E103" s="1"/>
    </row>
    <row r="104" spans="2:5">
      <c r="B104" s="1"/>
      <c r="C104" s="1"/>
      <c r="D104" s="1"/>
      <c r="E104" s="1"/>
    </row>
    <row r="105" spans="2:5">
      <c r="B105" s="1"/>
      <c r="C105" s="1"/>
      <c r="D105" s="1"/>
      <c r="E105" s="1"/>
    </row>
    <row r="106" spans="2:5">
      <c r="B106" s="1"/>
      <c r="C106" s="1"/>
      <c r="D106" s="1"/>
      <c r="E106" s="1"/>
    </row>
    <row r="107" spans="2:5">
      <c r="B107" s="1"/>
      <c r="C107" s="1"/>
      <c r="D107" s="1"/>
      <c r="E107" s="1"/>
    </row>
  </sheetData>
  <mergeCells count="8">
    <mergeCell ref="B22:E22"/>
    <mergeCell ref="B8:E8"/>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scale="99" firstPageNumber="11" orientation="portrait" blackAndWhite="1" useFirstPageNumber="1" r:id="rId1"/>
  <headerFooter scaleWithDoc="0" alignWithMargins="0">
    <oddFooter>&amp;C&amp;"Arial,標準"&amp;P</oddFooter>
  </headerFooter>
  <drawing r:id="rId2"/>
</worksheet>
</file>

<file path=xl/worksheets/sheet40.xml><?xml version="1.0" encoding="utf-8"?>
<worksheet xmlns="http://schemas.openxmlformats.org/spreadsheetml/2006/main" xmlns:r="http://schemas.openxmlformats.org/officeDocument/2006/relationships">
  <sheetPr codeName="Sheet49">
    <tabColor rgb="FFFFFFCC"/>
  </sheetPr>
  <dimension ref="A1:E33"/>
  <sheetViews>
    <sheetView topLeftCell="A19" workbookViewId="0">
      <selection activeCell="B20" sqref="B20"/>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86" t="s">
        <v>721</v>
      </c>
      <c r="B1" s="986"/>
      <c r="C1" s="986"/>
      <c r="D1" s="986"/>
      <c r="E1" s="986"/>
    </row>
    <row r="2" spans="1:5" ht="22.2">
      <c r="A2" s="987" t="s">
        <v>722</v>
      </c>
      <c r="B2" s="987"/>
      <c r="C2" s="987"/>
      <c r="D2" s="987"/>
      <c r="E2" s="987"/>
    </row>
    <row r="3" spans="1:5" ht="22.2">
      <c r="A3" s="988" t="s">
        <v>723</v>
      </c>
      <c r="B3" s="988"/>
      <c r="C3" s="988"/>
      <c r="D3" s="988"/>
      <c r="E3" s="988"/>
    </row>
    <row r="4" spans="1:5" ht="19.8">
      <c r="A4" s="989" t="s">
        <v>1091</v>
      </c>
      <c r="B4" s="989"/>
      <c r="C4" s="989"/>
      <c r="D4" s="989"/>
      <c r="E4" s="989"/>
    </row>
    <row r="5" spans="1:5" ht="16.8" thickBot="1">
      <c r="A5" s="3"/>
      <c r="B5" s="3"/>
      <c r="C5" s="3"/>
      <c r="D5" s="1"/>
      <c r="E5" s="11" t="s">
        <v>724</v>
      </c>
    </row>
    <row r="6" spans="1:5" ht="41.25" customHeight="1">
      <c r="A6" s="565" t="s">
        <v>725</v>
      </c>
      <c r="B6" s="566" t="s">
        <v>726</v>
      </c>
      <c r="C6" s="566" t="s">
        <v>727</v>
      </c>
      <c r="D6" s="566" t="s">
        <v>728</v>
      </c>
      <c r="E6" s="567" t="s">
        <v>729</v>
      </c>
    </row>
    <row r="7" spans="1:5" ht="25.05" customHeight="1">
      <c r="A7" s="389"/>
      <c r="B7" s="568"/>
      <c r="C7" s="568"/>
      <c r="D7" s="568"/>
      <c r="E7" s="569"/>
    </row>
    <row r="8" spans="1:5" ht="25.05" customHeight="1">
      <c r="A8" s="389"/>
      <c r="B8" s="568"/>
      <c r="C8" s="568"/>
      <c r="D8" s="568"/>
      <c r="E8" s="569"/>
    </row>
    <row r="9" spans="1:5" ht="25.05" customHeight="1">
      <c r="A9" s="389"/>
      <c r="B9" s="568"/>
      <c r="C9" s="568"/>
      <c r="D9" s="568"/>
      <c r="E9" s="569"/>
    </row>
    <row r="10" spans="1:5" ht="25.05" customHeight="1">
      <c r="A10" s="389"/>
      <c r="B10" s="568"/>
      <c r="C10" s="568"/>
      <c r="D10" s="568"/>
      <c r="E10" s="569"/>
    </row>
    <row r="11" spans="1:5" ht="25.05" customHeight="1">
      <c r="A11" s="389"/>
      <c r="B11" s="568"/>
      <c r="C11" s="568"/>
      <c r="D11" s="568"/>
      <c r="E11" s="569"/>
    </row>
    <row r="12" spans="1:5" ht="25.05" customHeight="1">
      <c r="A12" s="389"/>
      <c r="B12" s="568"/>
      <c r="C12" s="568"/>
      <c r="D12" s="568"/>
      <c r="E12" s="569"/>
    </row>
    <row r="13" spans="1:5" ht="25.05" customHeight="1">
      <c r="A13" s="389"/>
      <c r="B13" s="568"/>
      <c r="C13" s="568"/>
      <c r="D13" s="568"/>
      <c r="E13" s="569"/>
    </row>
    <row r="14" spans="1:5" ht="25.05" customHeight="1">
      <c r="A14" s="389"/>
      <c r="B14" s="568"/>
      <c r="C14" s="568"/>
      <c r="D14" s="568"/>
      <c r="E14" s="569"/>
    </row>
    <row r="15" spans="1:5" ht="25.05" customHeight="1">
      <c r="A15" s="389"/>
      <c r="B15" s="568"/>
      <c r="C15" s="568"/>
      <c r="D15" s="568"/>
      <c r="E15" s="569"/>
    </row>
    <row r="16" spans="1:5" ht="25.05" customHeight="1">
      <c r="A16" s="389"/>
      <c r="B16" s="568"/>
      <c r="C16" s="568"/>
      <c r="D16" s="568"/>
      <c r="E16" s="569"/>
    </row>
    <row r="17" spans="1:5" ht="25.05" customHeight="1">
      <c r="A17" s="389"/>
      <c r="B17" s="568"/>
      <c r="C17" s="568"/>
      <c r="D17" s="568"/>
      <c r="E17" s="569"/>
    </row>
    <row r="18" spans="1:5" ht="25.05" customHeight="1">
      <c r="A18" s="389"/>
      <c r="B18" s="568"/>
      <c r="C18" s="568"/>
      <c r="D18" s="568"/>
      <c r="E18" s="569"/>
    </row>
    <row r="19" spans="1:5" ht="25.05" customHeight="1">
      <c r="A19" s="389"/>
      <c r="B19" s="568"/>
      <c r="C19" s="568"/>
      <c r="D19" s="568"/>
      <c r="E19" s="569"/>
    </row>
    <row r="20" spans="1:5" ht="25.05" customHeight="1">
      <c r="A20" s="389"/>
      <c r="B20" s="568"/>
      <c r="C20" s="568"/>
      <c r="D20" s="568"/>
      <c r="E20" s="569"/>
    </row>
    <row r="21" spans="1:5" ht="25.05" customHeight="1">
      <c r="A21" s="389"/>
      <c r="B21" s="568"/>
      <c r="C21" s="568"/>
      <c r="D21" s="568"/>
      <c r="E21" s="569"/>
    </row>
    <row r="22" spans="1:5" ht="28.05" customHeight="1">
      <c r="A22" s="389"/>
      <c r="B22" s="568"/>
      <c r="C22" s="568"/>
      <c r="D22" s="568"/>
      <c r="E22" s="569"/>
    </row>
    <row r="23" spans="1:5" ht="28.05" customHeight="1">
      <c r="A23" s="389"/>
      <c r="B23" s="568"/>
      <c r="C23" s="568"/>
      <c r="D23" s="568"/>
      <c r="E23" s="569"/>
    </row>
    <row r="24" spans="1:5" ht="25.05" customHeight="1">
      <c r="A24" s="389"/>
      <c r="B24" s="568"/>
      <c r="C24" s="568"/>
      <c r="D24" s="568"/>
      <c r="E24" s="569"/>
    </row>
    <row r="25" spans="1:5" ht="28.05" customHeight="1">
      <c r="A25" s="389"/>
      <c r="B25" s="568"/>
      <c r="C25" s="568"/>
      <c r="D25" s="568"/>
      <c r="E25" s="569"/>
    </row>
    <row r="26" spans="1:5" ht="28.05" customHeight="1">
      <c r="A26" s="389"/>
      <c r="B26" s="568"/>
      <c r="C26" s="568"/>
      <c r="D26" s="568"/>
      <c r="E26" s="569"/>
    </row>
    <row r="27" spans="1:5" ht="11.4" customHeight="1" thickBot="1">
      <c r="A27" s="570"/>
      <c r="B27" s="571"/>
      <c r="C27" s="571"/>
      <c r="D27" s="571"/>
      <c r="E27" s="572"/>
    </row>
    <row r="28" spans="1:5">
      <c r="A28" s="1" t="s">
        <v>807</v>
      </c>
    </row>
    <row r="29" spans="1:5">
      <c r="A29" s="573" t="s">
        <v>1130</v>
      </c>
      <c r="B29" s="609"/>
      <c r="C29" s="609"/>
      <c r="D29" s="609"/>
      <c r="E29" s="609"/>
    </row>
    <row r="30" spans="1:5">
      <c r="A30" s="573" t="s">
        <v>1090</v>
      </c>
      <c r="B30" s="609"/>
      <c r="C30" s="609"/>
      <c r="D30" s="609"/>
      <c r="E30" s="609"/>
    </row>
    <row r="31" spans="1:5">
      <c r="A31" s="573" t="s">
        <v>1089</v>
      </c>
      <c r="B31" s="609"/>
      <c r="C31" s="609"/>
      <c r="D31" s="609"/>
      <c r="E31" s="609"/>
    </row>
    <row r="32" spans="1:5">
      <c r="A32" s="573" t="s">
        <v>1131</v>
      </c>
      <c r="B32" s="609"/>
      <c r="C32" s="609"/>
      <c r="D32" s="609"/>
      <c r="E32" s="609"/>
    </row>
    <row r="33" spans="1:5">
      <c r="A33" s="573" t="s">
        <v>1132</v>
      </c>
      <c r="B33" s="609"/>
      <c r="C33" s="609"/>
      <c r="D33" s="609"/>
      <c r="E33" s="609"/>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9" orientation="portrait" blackAndWhite="1" useFirstPageNumber="1" r:id="rId1"/>
  <headerFooter scaleWithDoc="0" alignWithMargins="0">
    <oddFooter>&amp;C&amp;"Arial Unicode MS,標準"&amp;P</oddFooter>
  </headerFooter>
</worksheet>
</file>

<file path=xl/worksheets/sheet41.xml><?xml version="1.0" encoding="utf-8"?>
<worksheet xmlns="http://schemas.openxmlformats.org/spreadsheetml/2006/main" xmlns:r="http://schemas.openxmlformats.org/officeDocument/2006/relationships">
  <dimension ref="A1:E33"/>
  <sheetViews>
    <sheetView workbookViewId="0">
      <selection activeCell="D40" sqref="D40"/>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86" t="s">
        <v>761</v>
      </c>
      <c r="B1" s="986"/>
      <c r="C1" s="986"/>
      <c r="D1" s="986"/>
      <c r="E1" s="986"/>
    </row>
    <row r="2" spans="1:5" ht="22.2">
      <c r="A2" s="987" t="s">
        <v>762</v>
      </c>
      <c r="B2" s="987"/>
      <c r="C2" s="987"/>
      <c r="D2" s="987"/>
      <c r="E2" s="987"/>
    </row>
    <row r="3" spans="1:5" ht="22.2">
      <c r="A3" s="988" t="s">
        <v>763</v>
      </c>
      <c r="B3" s="988"/>
      <c r="C3" s="988"/>
      <c r="D3" s="988"/>
      <c r="E3" s="988"/>
    </row>
    <row r="4" spans="1:5" ht="19.8">
      <c r="A4" s="989" t="s">
        <v>846</v>
      </c>
      <c r="B4" s="989"/>
      <c r="C4" s="989"/>
      <c r="D4" s="989"/>
      <c r="E4" s="989"/>
    </row>
    <row r="5" spans="1:5" ht="16.8" thickBot="1">
      <c r="A5" s="3"/>
      <c r="B5" s="3"/>
      <c r="C5" s="3"/>
      <c r="D5" s="1"/>
      <c r="E5" s="11" t="s">
        <v>764</v>
      </c>
    </row>
    <row r="6" spans="1:5" ht="41.25" customHeight="1">
      <c r="A6" s="565" t="s">
        <v>765</v>
      </c>
      <c r="B6" s="566" t="s">
        <v>766</v>
      </c>
      <c r="C6" s="566" t="s">
        <v>767</v>
      </c>
      <c r="D6" s="566" t="s">
        <v>768</v>
      </c>
      <c r="E6" s="567" t="s">
        <v>769</v>
      </c>
    </row>
    <row r="7" spans="1:5" ht="25.05" customHeight="1">
      <c r="A7" s="389"/>
      <c r="B7" s="568"/>
      <c r="C7" s="568"/>
      <c r="D7" s="568"/>
      <c r="E7" s="569"/>
    </row>
    <row r="8" spans="1:5" ht="25.05" customHeight="1">
      <c r="A8" s="389"/>
      <c r="B8" s="568"/>
      <c r="C8" s="568"/>
      <c r="D8" s="568"/>
      <c r="E8" s="569"/>
    </row>
    <row r="9" spans="1:5" ht="25.05" customHeight="1">
      <c r="A9" s="389"/>
      <c r="B9" s="568"/>
      <c r="C9" s="568"/>
      <c r="D9" s="568"/>
      <c r="E9" s="569"/>
    </row>
    <row r="10" spans="1:5" ht="25.05" customHeight="1">
      <c r="A10" s="389"/>
      <c r="B10" s="568"/>
      <c r="C10" s="568"/>
      <c r="D10" s="568"/>
      <c r="E10" s="569"/>
    </row>
    <row r="11" spans="1:5" ht="25.05" customHeight="1">
      <c r="A11" s="389"/>
      <c r="B11" s="568"/>
      <c r="C11" s="568"/>
      <c r="D11" s="568"/>
      <c r="E11" s="569"/>
    </row>
    <row r="12" spans="1:5" ht="25.05" customHeight="1">
      <c r="A12" s="389"/>
      <c r="B12" s="568"/>
      <c r="C12" s="568"/>
      <c r="D12" s="568"/>
      <c r="E12" s="569"/>
    </row>
    <row r="13" spans="1:5" ht="25.05" customHeight="1">
      <c r="A13" s="389"/>
      <c r="B13" s="568"/>
      <c r="C13" s="568"/>
      <c r="D13" s="568"/>
      <c r="E13" s="569"/>
    </row>
    <row r="14" spans="1:5" ht="25.05" customHeight="1">
      <c r="A14" s="389"/>
      <c r="B14" s="568"/>
      <c r="C14" s="568"/>
      <c r="D14" s="568"/>
      <c r="E14" s="569"/>
    </row>
    <row r="15" spans="1:5" ht="25.05" customHeight="1">
      <c r="A15" s="389"/>
      <c r="B15" s="568"/>
      <c r="C15" s="568"/>
      <c r="D15" s="568"/>
      <c r="E15" s="569"/>
    </row>
    <row r="16" spans="1:5" ht="25.05" customHeight="1">
      <c r="A16" s="389"/>
      <c r="B16" s="568"/>
      <c r="C16" s="568"/>
      <c r="D16" s="568"/>
      <c r="E16" s="569"/>
    </row>
    <row r="17" spans="1:5" ht="25.05" customHeight="1">
      <c r="A17" s="389"/>
      <c r="B17" s="568"/>
      <c r="C17" s="568"/>
      <c r="D17" s="568"/>
      <c r="E17" s="569"/>
    </row>
    <row r="18" spans="1:5" ht="25.05" customHeight="1">
      <c r="A18" s="389"/>
      <c r="B18" s="568"/>
      <c r="C18" s="568"/>
      <c r="D18" s="568"/>
      <c r="E18" s="569"/>
    </row>
    <row r="19" spans="1:5" ht="25.05" customHeight="1">
      <c r="A19" s="389"/>
      <c r="B19" s="568"/>
      <c r="C19" s="568"/>
      <c r="D19" s="568"/>
      <c r="E19" s="569"/>
    </row>
    <row r="20" spans="1:5" ht="25.05" customHeight="1">
      <c r="A20" s="389"/>
      <c r="B20" s="568"/>
      <c r="C20" s="568"/>
      <c r="D20" s="568"/>
      <c r="E20" s="569"/>
    </row>
    <row r="21" spans="1:5" ht="25.05" customHeight="1">
      <c r="A21" s="389"/>
      <c r="B21" s="568"/>
      <c r="C21" s="568"/>
      <c r="D21" s="568"/>
      <c r="E21" s="569"/>
    </row>
    <row r="22" spans="1:5" ht="28.05" customHeight="1">
      <c r="A22" s="389"/>
      <c r="B22" s="568"/>
      <c r="C22" s="568"/>
      <c r="D22" s="568"/>
      <c r="E22" s="569"/>
    </row>
    <row r="23" spans="1:5" ht="28.05" customHeight="1">
      <c r="A23" s="389"/>
      <c r="B23" s="568"/>
      <c r="C23" s="568"/>
      <c r="D23" s="568"/>
      <c r="E23" s="569"/>
    </row>
    <row r="24" spans="1:5" ht="25.05" customHeight="1">
      <c r="A24" s="389"/>
      <c r="B24" s="568"/>
      <c r="C24" s="568"/>
      <c r="D24" s="568"/>
      <c r="E24" s="569"/>
    </row>
    <row r="25" spans="1:5" ht="28.05" customHeight="1">
      <c r="A25" s="389"/>
      <c r="B25" s="568"/>
      <c r="C25" s="568"/>
      <c r="D25" s="568"/>
      <c r="E25" s="569"/>
    </row>
    <row r="26" spans="1:5" ht="28.05" customHeight="1">
      <c r="A26" s="389"/>
      <c r="B26" s="568"/>
      <c r="C26" s="568"/>
      <c r="D26" s="568"/>
      <c r="E26" s="569"/>
    </row>
    <row r="27" spans="1:5" ht="25.05" customHeight="1" thickBot="1">
      <c r="A27" s="570"/>
      <c r="B27" s="571"/>
      <c r="C27" s="571"/>
      <c r="D27" s="571"/>
      <c r="E27" s="572"/>
    </row>
    <row r="28" spans="1:5">
      <c r="A28" s="1" t="s">
        <v>770</v>
      </c>
    </row>
    <row r="29" spans="1:5">
      <c r="A29" s="573" t="s">
        <v>771</v>
      </c>
    </row>
    <row r="30" spans="1:5">
      <c r="A30" s="573" t="s">
        <v>803</v>
      </c>
    </row>
    <row r="31" spans="1:5">
      <c r="A31" s="573" t="s">
        <v>845</v>
      </c>
    </row>
    <row r="32" spans="1:5">
      <c r="A32" s="573" t="s">
        <v>810</v>
      </c>
    </row>
    <row r="33" spans="1:1">
      <c r="A33" s="573" t="s">
        <v>887</v>
      </c>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7" orientation="portrait" useFirstPageNumber="1" r:id="rId1"/>
  <headerFooter alignWithMargins="0">
    <oddFooter>&amp;C&amp;"Arial Unicode MS,標準"&amp;P</oddFooter>
  </headerFooter>
</worksheet>
</file>

<file path=xl/worksheets/sheet42.xml><?xml version="1.0" encoding="utf-8"?>
<worksheet xmlns="http://schemas.openxmlformats.org/spreadsheetml/2006/main" xmlns:r="http://schemas.openxmlformats.org/officeDocument/2006/relationships">
  <sheetPr codeName="Sheet51">
    <tabColor rgb="FFFFFFCC"/>
  </sheetPr>
  <dimension ref="A1:T33"/>
  <sheetViews>
    <sheetView topLeftCell="A25" zoomScaleNormal="100" workbookViewId="0">
      <selection activeCell="D41" sqref="D41"/>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287" t="s">
        <v>730</v>
      </c>
      <c r="B1" s="1287"/>
      <c r="C1" s="1287"/>
      <c r="D1" s="1287"/>
      <c r="E1" s="1287"/>
      <c r="F1" s="1287"/>
      <c r="G1" s="1287"/>
      <c r="H1" s="1287"/>
      <c r="I1" s="1287"/>
      <c r="J1" s="1287"/>
      <c r="K1" s="1282" t="s">
        <v>731</v>
      </c>
      <c r="L1" s="1282"/>
      <c r="M1" s="1282"/>
      <c r="N1" s="1282"/>
      <c r="O1" s="1282"/>
      <c r="P1" s="1282"/>
      <c r="Q1" s="1282"/>
      <c r="R1" s="1282"/>
      <c r="S1" s="1282"/>
      <c r="T1" s="1282"/>
    </row>
    <row r="2" spans="1:20" ht="22.2">
      <c r="A2" s="1283" t="s">
        <v>732</v>
      </c>
      <c r="B2" s="1283"/>
      <c r="C2" s="1283"/>
      <c r="D2" s="1283"/>
      <c r="E2" s="1283"/>
      <c r="F2" s="1283"/>
      <c r="G2" s="1283"/>
      <c r="H2" s="1283"/>
      <c r="I2" s="1283"/>
      <c r="J2" s="1283"/>
      <c r="K2" s="1284" t="s">
        <v>733</v>
      </c>
      <c r="L2" s="1284"/>
      <c r="M2" s="1284"/>
      <c r="N2" s="1284"/>
      <c r="O2" s="1284"/>
      <c r="P2" s="1284"/>
      <c r="Q2" s="1284"/>
      <c r="R2" s="1284"/>
      <c r="S2" s="1284"/>
      <c r="T2" s="1284"/>
    </row>
    <row r="3" spans="1:20" ht="22.2">
      <c r="A3" s="1285" t="s">
        <v>734</v>
      </c>
      <c r="B3" s="1285"/>
      <c r="C3" s="1285"/>
      <c r="D3" s="1285"/>
      <c r="E3" s="1285"/>
      <c r="F3" s="1285"/>
      <c r="G3" s="1285"/>
      <c r="H3" s="1285"/>
      <c r="I3" s="1285"/>
      <c r="J3" s="1285"/>
      <c r="K3" s="1286" t="s">
        <v>735</v>
      </c>
      <c r="L3" s="1286"/>
      <c r="M3" s="1286"/>
      <c r="N3" s="1286"/>
      <c r="O3" s="1286"/>
      <c r="P3" s="1286"/>
      <c r="Q3" s="1286"/>
      <c r="R3" s="1286"/>
      <c r="S3" s="1286"/>
      <c r="T3" s="1286"/>
    </row>
    <row r="4" spans="1:20" ht="19.8">
      <c r="A4" s="1281" t="s">
        <v>736</v>
      </c>
      <c r="B4" s="1281"/>
      <c r="C4" s="1281"/>
      <c r="D4" s="1281"/>
      <c r="E4" s="1281"/>
      <c r="F4" s="1281"/>
      <c r="G4" s="1281"/>
      <c r="H4" s="1281"/>
      <c r="I4" s="1281"/>
      <c r="J4" s="1281"/>
      <c r="K4" s="1288" t="s">
        <v>1092</v>
      </c>
      <c r="L4" s="1288"/>
      <c r="M4" s="1288"/>
      <c r="N4" s="1288"/>
      <c r="O4" s="1288"/>
      <c r="P4" s="1288"/>
      <c r="Q4" s="1288"/>
      <c r="R4" s="1288"/>
      <c r="S4" s="1288"/>
      <c r="T4" s="1288"/>
    </row>
    <row r="5" spans="1:20" ht="16.8" thickBot="1">
      <c r="A5" s="3"/>
      <c r="B5" s="3"/>
      <c r="C5" s="3"/>
      <c r="D5" s="3"/>
      <c r="E5" s="3"/>
      <c r="F5" s="3"/>
      <c r="G5" s="3"/>
      <c r="H5" s="3"/>
      <c r="I5" s="3"/>
      <c r="J5" s="3"/>
      <c r="K5" s="3"/>
      <c r="L5" s="3"/>
      <c r="M5" s="3"/>
      <c r="N5" s="3"/>
      <c r="O5" s="3"/>
      <c r="P5" s="3"/>
      <c r="Q5" s="3"/>
      <c r="R5" s="3"/>
      <c r="S5" s="1"/>
      <c r="T5" s="11" t="s">
        <v>737</v>
      </c>
    </row>
    <row r="6" spans="1:20" ht="20.55" customHeight="1">
      <c r="A6" s="1279" t="s">
        <v>738</v>
      </c>
      <c r="B6" s="1175" t="s">
        <v>739</v>
      </c>
      <c r="C6" s="1175" t="s">
        <v>740</v>
      </c>
      <c r="D6" s="1175" t="s">
        <v>741</v>
      </c>
      <c r="E6" s="1175" t="s">
        <v>742</v>
      </c>
      <c r="F6" s="1175" t="s">
        <v>743</v>
      </c>
      <c r="G6" s="1175"/>
      <c r="H6" s="1175"/>
      <c r="I6" s="1175"/>
      <c r="J6" s="1272" t="s">
        <v>744</v>
      </c>
      <c r="K6" s="1273"/>
      <c r="L6" s="1274" t="s">
        <v>745</v>
      </c>
      <c r="M6" s="1272" t="s">
        <v>746</v>
      </c>
      <c r="N6" s="1278"/>
      <c r="O6" s="1278"/>
      <c r="P6" s="1273"/>
      <c r="Q6" s="1274" t="s">
        <v>747</v>
      </c>
      <c r="R6" s="1274" t="s">
        <v>748</v>
      </c>
      <c r="S6" s="1274" t="s">
        <v>749</v>
      </c>
      <c r="T6" s="1276" t="s">
        <v>750</v>
      </c>
    </row>
    <row r="7" spans="1:20" ht="41.25" customHeight="1">
      <c r="A7" s="1280"/>
      <c r="B7" s="1178"/>
      <c r="C7" s="1178"/>
      <c r="D7" s="1178"/>
      <c r="E7" s="1178"/>
      <c r="F7" s="574" t="s">
        <v>751</v>
      </c>
      <c r="G7" s="574" t="s">
        <v>752</v>
      </c>
      <c r="H7" s="574" t="s">
        <v>753</v>
      </c>
      <c r="I7" s="574" t="s">
        <v>754</v>
      </c>
      <c r="J7" s="574" t="s">
        <v>755</v>
      </c>
      <c r="K7" s="574" t="s">
        <v>756</v>
      </c>
      <c r="L7" s="1275"/>
      <c r="M7" s="574" t="s">
        <v>757</v>
      </c>
      <c r="N7" s="574" t="s">
        <v>758</v>
      </c>
      <c r="O7" s="574" t="s">
        <v>759</v>
      </c>
      <c r="P7" s="574" t="s">
        <v>754</v>
      </c>
      <c r="Q7" s="1275"/>
      <c r="R7" s="1275"/>
      <c r="S7" s="1275"/>
      <c r="T7" s="1277"/>
    </row>
    <row r="8" spans="1:20" ht="25.05" customHeight="1">
      <c r="A8" s="389"/>
      <c r="B8" s="568"/>
      <c r="C8" s="568"/>
      <c r="D8" s="568"/>
      <c r="E8" s="568"/>
      <c r="F8" s="568"/>
      <c r="G8" s="568"/>
      <c r="H8" s="568"/>
      <c r="I8" s="568"/>
      <c r="J8" s="568"/>
      <c r="K8" s="568"/>
      <c r="L8" s="568"/>
      <c r="M8" s="568"/>
      <c r="N8" s="568"/>
      <c r="O8" s="568"/>
      <c r="P8" s="568"/>
      <c r="Q8" s="568"/>
      <c r="R8" s="568"/>
      <c r="S8" s="568"/>
      <c r="T8" s="569"/>
    </row>
    <row r="9" spans="1:20" ht="25.05" customHeight="1">
      <c r="A9" s="389"/>
      <c r="B9" s="568"/>
      <c r="C9" s="568"/>
      <c r="D9" s="568"/>
      <c r="E9" s="568"/>
      <c r="F9" s="568"/>
      <c r="G9" s="568"/>
      <c r="H9" s="568"/>
      <c r="I9" s="568"/>
      <c r="J9" s="568"/>
      <c r="K9" s="568"/>
      <c r="L9" s="568"/>
      <c r="M9" s="568"/>
      <c r="N9" s="568"/>
      <c r="O9" s="568"/>
      <c r="P9" s="568"/>
      <c r="Q9" s="568"/>
      <c r="R9" s="568"/>
      <c r="S9" s="568"/>
      <c r="T9" s="569"/>
    </row>
    <row r="10" spans="1:20" ht="25.05" customHeight="1">
      <c r="A10" s="389"/>
      <c r="B10" s="568"/>
      <c r="C10" s="568"/>
      <c r="D10" s="568"/>
      <c r="E10" s="568"/>
      <c r="F10" s="568"/>
      <c r="G10" s="568"/>
      <c r="H10" s="568"/>
      <c r="I10" s="568"/>
      <c r="J10" s="568"/>
      <c r="K10" s="568"/>
      <c r="L10" s="568"/>
      <c r="M10" s="568"/>
      <c r="N10" s="568"/>
      <c r="O10" s="568"/>
      <c r="P10" s="568"/>
      <c r="Q10" s="568"/>
      <c r="R10" s="568"/>
      <c r="S10" s="568"/>
      <c r="T10" s="569"/>
    </row>
    <row r="11" spans="1:20" ht="25.05" customHeight="1">
      <c r="A11" s="389"/>
      <c r="B11" s="568"/>
      <c r="C11" s="568"/>
      <c r="D11" s="568"/>
      <c r="E11" s="568"/>
      <c r="F11" s="568"/>
      <c r="G11" s="568"/>
      <c r="H11" s="568"/>
      <c r="I11" s="568"/>
      <c r="J11" s="568"/>
      <c r="K11" s="568"/>
      <c r="L11" s="568"/>
      <c r="M11" s="568"/>
      <c r="N11" s="568"/>
      <c r="O11" s="568"/>
      <c r="P11" s="568"/>
      <c r="Q11" s="568"/>
      <c r="R11" s="568"/>
      <c r="S11" s="568"/>
      <c r="T11" s="569"/>
    </row>
    <row r="12" spans="1:20" ht="25.05" customHeight="1">
      <c r="A12" s="389"/>
      <c r="B12" s="568"/>
      <c r="C12" s="568"/>
      <c r="D12" s="568"/>
      <c r="E12" s="568"/>
      <c r="F12" s="568"/>
      <c r="G12" s="568"/>
      <c r="H12" s="568"/>
      <c r="I12" s="568"/>
      <c r="J12" s="568"/>
      <c r="K12" s="568"/>
      <c r="L12" s="568"/>
      <c r="M12" s="568"/>
      <c r="N12" s="568"/>
      <c r="O12" s="568"/>
      <c r="P12" s="568"/>
      <c r="Q12" s="568"/>
      <c r="R12" s="568"/>
      <c r="S12" s="568"/>
      <c r="T12" s="569"/>
    </row>
    <row r="13" spans="1:20" ht="25.05" customHeight="1">
      <c r="A13" s="389"/>
      <c r="B13" s="568"/>
      <c r="C13" s="568"/>
      <c r="D13" s="568"/>
      <c r="E13" s="568"/>
      <c r="F13" s="568"/>
      <c r="G13" s="568"/>
      <c r="H13" s="568"/>
      <c r="I13" s="568"/>
      <c r="J13" s="568"/>
      <c r="K13" s="568"/>
      <c r="L13" s="568"/>
      <c r="M13" s="568"/>
      <c r="N13" s="568"/>
      <c r="O13" s="568"/>
      <c r="P13" s="568"/>
      <c r="Q13" s="568"/>
      <c r="R13" s="568"/>
      <c r="S13" s="568"/>
      <c r="T13" s="569"/>
    </row>
    <row r="14" spans="1:20" ht="25.05" customHeight="1">
      <c r="A14" s="389"/>
      <c r="B14" s="568"/>
      <c r="C14" s="568"/>
      <c r="D14" s="568"/>
      <c r="E14" s="568"/>
      <c r="F14" s="568"/>
      <c r="G14" s="568"/>
      <c r="H14" s="568"/>
      <c r="I14" s="568"/>
      <c r="J14" s="568"/>
      <c r="K14" s="568"/>
      <c r="L14" s="568"/>
      <c r="M14" s="568"/>
      <c r="N14" s="568"/>
      <c r="O14" s="568"/>
      <c r="P14" s="568"/>
      <c r="Q14" s="568"/>
      <c r="R14" s="568"/>
      <c r="S14" s="568"/>
      <c r="T14" s="569"/>
    </row>
    <row r="15" spans="1:20" ht="25.05" customHeight="1">
      <c r="A15" s="389"/>
      <c r="B15" s="568"/>
      <c r="C15" s="568"/>
      <c r="D15" s="568"/>
      <c r="E15" s="568"/>
      <c r="F15" s="568"/>
      <c r="G15" s="568"/>
      <c r="H15" s="568"/>
      <c r="I15" s="568"/>
      <c r="J15" s="568"/>
      <c r="K15" s="568"/>
      <c r="L15" s="568"/>
      <c r="M15" s="568"/>
      <c r="N15" s="568"/>
      <c r="O15" s="568"/>
      <c r="P15" s="568"/>
      <c r="Q15" s="568"/>
      <c r="R15" s="568"/>
      <c r="S15" s="568"/>
      <c r="T15" s="569"/>
    </row>
    <row r="16" spans="1:20" ht="25.05" customHeight="1">
      <c r="A16" s="389"/>
      <c r="B16" s="568"/>
      <c r="C16" s="568"/>
      <c r="D16" s="568"/>
      <c r="E16" s="568"/>
      <c r="F16" s="568"/>
      <c r="G16" s="568"/>
      <c r="H16" s="568"/>
      <c r="I16" s="568"/>
      <c r="J16" s="568"/>
      <c r="K16" s="568"/>
      <c r="L16" s="568"/>
      <c r="M16" s="568"/>
      <c r="N16" s="568"/>
      <c r="O16" s="568"/>
      <c r="P16" s="568"/>
      <c r="Q16" s="568"/>
      <c r="R16" s="568"/>
      <c r="S16" s="568"/>
      <c r="T16" s="569"/>
    </row>
    <row r="17" spans="1:20" ht="25.05" customHeight="1">
      <c r="A17" s="389"/>
      <c r="B17" s="568"/>
      <c r="C17" s="568"/>
      <c r="D17" s="568"/>
      <c r="E17" s="568"/>
      <c r="F17" s="568"/>
      <c r="G17" s="568"/>
      <c r="H17" s="568"/>
      <c r="I17" s="568"/>
      <c r="J17" s="568"/>
      <c r="K17" s="568"/>
      <c r="L17" s="568"/>
      <c r="M17" s="568"/>
      <c r="N17" s="568"/>
      <c r="O17" s="568"/>
      <c r="P17" s="568"/>
      <c r="Q17" s="568"/>
      <c r="R17" s="568"/>
      <c r="S17" s="568"/>
      <c r="T17" s="569"/>
    </row>
    <row r="18" spans="1:20" ht="25.05" customHeight="1">
      <c r="A18" s="389"/>
      <c r="B18" s="568"/>
      <c r="C18" s="568"/>
      <c r="D18" s="568"/>
      <c r="E18" s="568"/>
      <c r="F18" s="568"/>
      <c r="G18" s="568"/>
      <c r="H18" s="568"/>
      <c r="I18" s="568"/>
      <c r="J18" s="568"/>
      <c r="K18" s="568"/>
      <c r="L18" s="568"/>
      <c r="M18" s="568"/>
      <c r="N18" s="568"/>
      <c r="O18" s="568"/>
      <c r="P18" s="568"/>
      <c r="Q18" s="568"/>
      <c r="R18" s="568"/>
      <c r="S18" s="568"/>
      <c r="T18" s="569"/>
    </row>
    <row r="19" spans="1:20" ht="25.05" customHeight="1">
      <c r="A19" s="389"/>
      <c r="B19" s="568"/>
      <c r="C19" s="568"/>
      <c r="D19" s="568"/>
      <c r="E19" s="568"/>
      <c r="F19" s="568"/>
      <c r="G19" s="568"/>
      <c r="H19" s="568"/>
      <c r="I19" s="568"/>
      <c r="J19" s="568"/>
      <c r="K19" s="568"/>
      <c r="L19" s="568"/>
      <c r="M19" s="568"/>
      <c r="N19" s="568"/>
      <c r="O19" s="568"/>
      <c r="P19" s="568"/>
      <c r="Q19" s="568"/>
      <c r="R19" s="568"/>
      <c r="S19" s="568"/>
      <c r="T19" s="569"/>
    </row>
    <row r="20" spans="1:20" ht="25.05" customHeight="1">
      <c r="A20" s="389"/>
      <c r="B20" s="568"/>
      <c r="C20" s="568"/>
      <c r="D20" s="568"/>
      <c r="E20" s="568"/>
      <c r="F20" s="568"/>
      <c r="G20" s="568"/>
      <c r="H20" s="568"/>
      <c r="I20" s="568"/>
      <c r="J20" s="568"/>
      <c r="K20" s="568"/>
      <c r="L20" s="568"/>
      <c r="M20" s="568"/>
      <c r="N20" s="568"/>
      <c r="O20" s="568"/>
      <c r="P20" s="568"/>
      <c r="Q20" s="568"/>
      <c r="R20" s="568"/>
      <c r="S20" s="568"/>
      <c r="T20" s="569"/>
    </row>
    <row r="21" spans="1:20" ht="25.05" customHeight="1">
      <c r="A21" s="389"/>
      <c r="B21" s="568"/>
      <c r="C21" s="568"/>
      <c r="D21" s="568"/>
      <c r="E21" s="568"/>
      <c r="F21" s="568"/>
      <c r="G21" s="568"/>
      <c r="H21" s="568"/>
      <c r="I21" s="568"/>
      <c r="J21" s="568"/>
      <c r="K21" s="568"/>
      <c r="L21" s="568"/>
      <c r="M21" s="568"/>
      <c r="N21" s="568"/>
      <c r="O21" s="568"/>
      <c r="P21" s="568"/>
      <c r="Q21" s="568"/>
      <c r="R21" s="568"/>
      <c r="S21" s="568"/>
      <c r="T21" s="569"/>
    </row>
    <row r="22" spans="1:20" ht="25.05" customHeight="1">
      <c r="A22" s="389"/>
      <c r="B22" s="568"/>
      <c r="C22" s="568"/>
      <c r="D22" s="568"/>
      <c r="E22" s="568"/>
      <c r="F22" s="568"/>
      <c r="G22" s="568"/>
      <c r="H22" s="568"/>
      <c r="I22" s="568"/>
      <c r="J22" s="568"/>
      <c r="K22" s="568"/>
      <c r="L22" s="568"/>
      <c r="M22" s="568"/>
      <c r="N22" s="568"/>
      <c r="O22" s="568"/>
      <c r="P22" s="568"/>
      <c r="Q22" s="568"/>
      <c r="R22" s="568"/>
      <c r="S22" s="568"/>
      <c r="T22" s="569"/>
    </row>
    <row r="23" spans="1:20" ht="25.05" customHeight="1">
      <c r="A23" s="389"/>
      <c r="B23" s="568"/>
      <c r="C23" s="568"/>
      <c r="D23" s="568"/>
      <c r="E23" s="568"/>
      <c r="F23" s="568"/>
      <c r="G23" s="568"/>
      <c r="H23" s="568"/>
      <c r="I23" s="568"/>
      <c r="J23" s="568"/>
      <c r="K23" s="568"/>
      <c r="L23" s="568"/>
      <c r="M23" s="568"/>
      <c r="N23" s="568"/>
      <c r="O23" s="568"/>
      <c r="P23" s="568"/>
      <c r="Q23" s="568"/>
      <c r="R23" s="568"/>
      <c r="S23" s="568"/>
      <c r="T23" s="569"/>
    </row>
    <row r="24" spans="1:20" ht="25.05" customHeight="1">
      <c r="A24" s="389"/>
      <c r="B24" s="568"/>
      <c r="C24" s="568"/>
      <c r="D24" s="568"/>
      <c r="E24" s="568"/>
      <c r="F24" s="568"/>
      <c r="G24" s="568"/>
      <c r="H24" s="568"/>
      <c r="I24" s="568"/>
      <c r="J24" s="568"/>
      <c r="K24" s="568"/>
      <c r="L24" s="568"/>
      <c r="M24" s="568"/>
      <c r="N24" s="568"/>
      <c r="O24" s="568"/>
      <c r="P24" s="568"/>
      <c r="Q24" s="568"/>
      <c r="R24" s="568"/>
      <c r="S24" s="568"/>
      <c r="T24" s="569"/>
    </row>
    <row r="25" spans="1:20" ht="25.05" customHeight="1">
      <c r="A25" s="389"/>
      <c r="B25" s="568"/>
      <c r="C25" s="568"/>
      <c r="D25" s="568"/>
      <c r="E25" s="568"/>
      <c r="F25" s="568"/>
      <c r="G25" s="568"/>
      <c r="H25" s="568"/>
      <c r="I25" s="568"/>
      <c r="J25" s="568"/>
      <c r="K25" s="568"/>
      <c r="L25" s="568"/>
      <c r="M25" s="568"/>
      <c r="N25" s="568"/>
      <c r="O25" s="568"/>
      <c r="P25" s="568"/>
      <c r="Q25" s="568"/>
      <c r="R25" s="568"/>
      <c r="S25" s="568"/>
      <c r="T25" s="569"/>
    </row>
    <row r="26" spans="1:20" ht="25.05" customHeight="1">
      <c r="A26" s="575"/>
      <c r="B26" s="568"/>
      <c r="C26" s="568"/>
      <c r="D26" s="568"/>
      <c r="E26" s="568"/>
      <c r="F26" s="568"/>
      <c r="G26" s="568"/>
      <c r="H26" s="568"/>
      <c r="I26" s="568"/>
      <c r="J26" s="568"/>
      <c r="K26" s="568"/>
      <c r="L26" s="568"/>
      <c r="M26" s="568"/>
      <c r="N26" s="568"/>
      <c r="O26" s="568"/>
      <c r="P26" s="568"/>
      <c r="Q26" s="568"/>
      <c r="R26" s="568"/>
      <c r="S26" s="568"/>
      <c r="T26" s="569"/>
    </row>
    <row r="27" spans="1:20" ht="25.05" customHeight="1">
      <c r="A27" s="389"/>
      <c r="B27" s="568"/>
      <c r="C27" s="568"/>
      <c r="D27" s="568"/>
      <c r="E27" s="568"/>
      <c r="F27" s="568"/>
      <c r="G27" s="568"/>
      <c r="H27" s="568"/>
      <c r="I27" s="568"/>
      <c r="J27" s="568"/>
      <c r="K27" s="568"/>
      <c r="L27" s="568"/>
      <c r="M27" s="568"/>
      <c r="N27" s="568"/>
      <c r="O27" s="568"/>
      <c r="P27" s="568"/>
      <c r="Q27" s="568"/>
      <c r="R27" s="568"/>
      <c r="S27" s="568"/>
      <c r="T27" s="569"/>
    </row>
    <row r="28" spans="1:20" ht="17.399999999999999" customHeight="1">
      <c r="A28" s="389"/>
      <c r="B28" s="568"/>
      <c r="C28" s="568"/>
      <c r="D28" s="568"/>
      <c r="E28" s="568"/>
      <c r="F28" s="568"/>
      <c r="G28" s="568"/>
      <c r="H28" s="568"/>
      <c r="I28" s="568"/>
      <c r="J28" s="568"/>
      <c r="K28" s="568"/>
      <c r="L28" s="568"/>
      <c r="M28" s="568"/>
      <c r="N28" s="568"/>
      <c r="O28" s="568"/>
      <c r="P28" s="568"/>
      <c r="Q28" s="568"/>
      <c r="R28" s="568"/>
      <c r="S28" s="568"/>
      <c r="T28" s="569"/>
    </row>
    <row r="29" spans="1:20" ht="25.05" customHeight="1" thickBot="1">
      <c r="A29" s="570"/>
      <c r="B29" s="571"/>
      <c r="C29" s="571"/>
      <c r="D29" s="571"/>
      <c r="E29" s="571"/>
      <c r="F29" s="571"/>
      <c r="G29" s="571"/>
      <c r="H29" s="571"/>
      <c r="I29" s="571"/>
      <c r="J29" s="571"/>
      <c r="K29" s="571"/>
      <c r="L29" s="571"/>
      <c r="M29" s="571"/>
      <c r="N29" s="571"/>
      <c r="O29" s="571"/>
      <c r="P29" s="571"/>
      <c r="Q29" s="571"/>
      <c r="R29" s="571"/>
      <c r="S29" s="571"/>
      <c r="T29" s="572"/>
    </row>
    <row r="30" spans="1:20">
      <c r="A30" s="1" t="s">
        <v>807</v>
      </c>
    </row>
    <row r="31" spans="1:20">
      <c r="A31" s="605" t="s">
        <v>1145</v>
      </c>
      <c r="B31" s="609"/>
      <c r="C31" s="609"/>
      <c r="D31" s="609"/>
      <c r="E31" s="609"/>
      <c r="F31" s="609"/>
      <c r="G31" s="609"/>
      <c r="H31" s="609"/>
      <c r="I31" s="609"/>
      <c r="J31" s="609"/>
    </row>
    <row r="32" spans="1:20">
      <c r="A32" s="605" t="s">
        <v>1146</v>
      </c>
      <c r="B32" s="609"/>
      <c r="C32" s="609"/>
      <c r="D32" s="609"/>
      <c r="E32" s="609"/>
      <c r="F32" s="609"/>
      <c r="G32" s="609"/>
      <c r="H32" s="609"/>
      <c r="I32" s="609"/>
      <c r="J32" s="609"/>
    </row>
    <row r="33" spans="1:10">
      <c r="A33" s="605" t="s">
        <v>1147</v>
      </c>
      <c r="B33" s="609"/>
      <c r="C33" s="609"/>
      <c r="D33" s="609"/>
      <c r="E33" s="609"/>
      <c r="F33" s="609"/>
      <c r="G33" s="609"/>
      <c r="H33" s="609"/>
      <c r="I33" s="609"/>
      <c r="J33" s="609"/>
    </row>
  </sheetData>
  <mergeCells count="21">
    <mergeCell ref="A4:J4"/>
    <mergeCell ref="K1:T1"/>
    <mergeCell ref="A2:J2"/>
    <mergeCell ref="K2:T2"/>
    <mergeCell ref="A3:J3"/>
    <mergeCell ref="K3:T3"/>
    <mergeCell ref="A1:J1"/>
    <mergeCell ref="K4:T4"/>
    <mergeCell ref="A6:A7"/>
    <mergeCell ref="B6:B7"/>
    <mergeCell ref="C6:C7"/>
    <mergeCell ref="D6:D7"/>
    <mergeCell ref="E6:E7"/>
    <mergeCell ref="F6:I6"/>
    <mergeCell ref="J6:K6"/>
    <mergeCell ref="L6:L7"/>
    <mergeCell ref="T6:T7"/>
    <mergeCell ref="M6:P6"/>
    <mergeCell ref="Q6:Q7"/>
    <mergeCell ref="R6:R7"/>
    <mergeCell ref="S6:S7"/>
  </mergeCells>
  <phoneticPr fontId="14" type="noConversion"/>
  <pageMargins left="0.6692913385826772" right="0.6692913385826772" top="0.59055118110236227" bottom="0.78740157480314965" header="0.39370078740157483" footer="0.47244094488188981"/>
  <pageSetup paperSize="9" scale="99" firstPageNumber="40" orientation="portrait" blackAndWhite="1" useFirstPageNumber="1" r:id="rId1"/>
  <headerFooter scaleWithDoc="0" alignWithMargins="0">
    <oddFooter>&amp;C&amp;"Arial Unicode MS,標準"&amp;P</oddFooter>
  </headerFooter>
  <colBreaks count="1" manualBreakCount="1">
    <brk id="10" max="32" man="1"/>
  </colBreaks>
</worksheet>
</file>

<file path=xl/worksheets/sheet43.xml><?xml version="1.0" encoding="utf-8"?>
<worksheet xmlns="http://schemas.openxmlformats.org/spreadsheetml/2006/main" xmlns:r="http://schemas.openxmlformats.org/officeDocument/2006/relationships">
  <dimension ref="A1:T33"/>
  <sheetViews>
    <sheetView workbookViewId="0">
      <selection activeCell="A33" sqref="A33"/>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287" t="s">
        <v>772</v>
      </c>
      <c r="B1" s="1287"/>
      <c r="C1" s="1287"/>
      <c r="D1" s="1287"/>
      <c r="E1" s="1287"/>
      <c r="F1" s="1287"/>
      <c r="G1" s="1287"/>
      <c r="H1" s="1287"/>
      <c r="I1" s="1287"/>
      <c r="J1" s="1287"/>
      <c r="K1" s="1282" t="s">
        <v>773</v>
      </c>
      <c r="L1" s="1282"/>
      <c r="M1" s="1282"/>
      <c r="N1" s="1282"/>
      <c r="O1" s="1282"/>
      <c r="P1" s="1282"/>
      <c r="Q1" s="1282"/>
      <c r="R1" s="1282"/>
      <c r="S1" s="1282"/>
      <c r="T1" s="1282"/>
    </row>
    <row r="2" spans="1:20" ht="22.2">
      <c r="A2" s="1283" t="s">
        <v>774</v>
      </c>
      <c r="B2" s="1283"/>
      <c r="C2" s="1283"/>
      <c r="D2" s="1283"/>
      <c r="E2" s="1283"/>
      <c r="F2" s="1283"/>
      <c r="G2" s="1283"/>
      <c r="H2" s="1283"/>
      <c r="I2" s="1283"/>
      <c r="J2" s="1283"/>
      <c r="K2" s="1284" t="s">
        <v>775</v>
      </c>
      <c r="L2" s="1284"/>
      <c r="M2" s="1284"/>
      <c r="N2" s="1284"/>
      <c r="O2" s="1284"/>
      <c r="P2" s="1284"/>
      <c r="Q2" s="1284"/>
      <c r="R2" s="1284"/>
      <c r="S2" s="1284"/>
      <c r="T2" s="1284"/>
    </row>
    <row r="3" spans="1:20" ht="22.2">
      <c r="A3" s="1285" t="s">
        <v>776</v>
      </c>
      <c r="B3" s="1285"/>
      <c r="C3" s="1285"/>
      <c r="D3" s="1285"/>
      <c r="E3" s="1285"/>
      <c r="F3" s="1285"/>
      <c r="G3" s="1285"/>
      <c r="H3" s="1285"/>
      <c r="I3" s="1285"/>
      <c r="J3" s="1285"/>
      <c r="K3" s="1286" t="s">
        <v>777</v>
      </c>
      <c r="L3" s="1286"/>
      <c r="M3" s="1286"/>
      <c r="N3" s="1286"/>
      <c r="O3" s="1286"/>
      <c r="P3" s="1286"/>
      <c r="Q3" s="1286"/>
      <c r="R3" s="1286"/>
      <c r="S3" s="1286"/>
      <c r="T3" s="1286"/>
    </row>
    <row r="4" spans="1:20" ht="19.8">
      <c r="A4" s="1281" t="s">
        <v>778</v>
      </c>
      <c r="B4" s="1281"/>
      <c r="C4" s="1281"/>
      <c r="D4" s="1281"/>
      <c r="E4" s="1281"/>
      <c r="F4" s="1281"/>
      <c r="G4" s="1281"/>
      <c r="H4" s="1281"/>
      <c r="I4" s="1281"/>
      <c r="J4" s="1281"/>
      <c r="K4" s="1288" t="s">
        <v>847</v>
      </c>
      <c r="L4" s="1288"/>
      <c r="M4" s="1288"/>
      <c r="N4" s="1288"/>
      <c r="O4" s="1288"/>
      <c r="P4" s="1288"/>
      <c r="Q4" s="1288"/>
      <c r="R4" s="1288"/>
      <c r="S4" s="1288"/>
      <c r="T4" s="1288"/>
    </row>
    <row r="5" spans="1:20" ht="16.8" thickBot="1">
      <c r="A5" s="3"/>
      <c r="B5" s="3"/>
      <c r="C5" s="3"/>
      <c r="D5" s="3"/>
      <c r="E5" s="3"/>
      <c r="F5" s="3"/>
      <c r="G5" s="3"/>
      <c r="H5" s="3"/>
      <c r="I5" s="3"/>
      <c r="J5" s="3"/>
      <c r="K5" s="3"/>
      <c r="L5" s="3"/>
      <c r="M5" s="3"/>
      <c r="N5" s="3"/>
      <c r="O5" s="3"/>
      <c r="P5" s="3"/>
      <c r="Q5" s="3"/>
      <c r="R5" s="3"/>
      <c r="S5" s="1"/>
      <c r="T5" s="11" t="s">
        <v>779</v>
      </c>
    </row>
    <row r="6" spans="1:20" ht="20.55" customHeight="1">
      <c r="A6" s="1279" t="s">
        <v>780</v>
      </c>
      <c r="B6" s="1175" t="s">
        <v>781</v>
      </c>
      <c r="C6" s="1175" t="s">
        <v>782</v>
      </c>
      <c r="D6" s="1175" t="s">
        <v>783</v>
      </c>
      <c r="E6" s="1175" t="s">
        <v>784</v>
      </c>
      <c r="F6" s="1175" t="s">
        <v>785</v>
      </c>
      <c r="G6" s="1175"/>
      <c r="H6" s="1175"/>
      <c r="I6" s="1175"/>
      <c r="J6" s="1272" t="s">
        <v>786</v>
      </c>
      <c r="K6" s="1273"/>
      <c r="L6" s="1274" t="s">
        <v>787</v>
      </c>
      <c r="M6" s="1272" t="s">
        <v>788</v>
      </c>
      <c r="N6" s="1278"/>
      <c r="O6" s="1278"/>
      <c r="P6" s="1273"/>
      <c r="Q6" s="1274" t="s">
        <v>789</v>
      </c>
      <c r="R6" s="1274" t="s">
        <v>790</v>
      </c>
      <c r="S6" s="1274" t="s">
        <v>791</v>
      </c>
      <c r="T6" s="1276" t="s">
        <v>792</v>
      </c>
    </row>
    <row r="7" spans="1:20" ht="41.25" customHeight="1">
      <c r="A7" s="1280"/>
      <c r="B7" s="1178"/>
      <c r="C7" s="1178"/>
      <c r="D7" s="1178"/>
      <c r="E7" s="1178"/>
      <c r="F7" s="574" t="s">
        <v>793</v>
      </c>
      <c r="G7" s="574" t="s">
        <v>794</v>
      </c>
      <c r="H7" s="574" t="s">
        <v>795</v>
      </c>
      <c r="I7" s="574" t="s">
        <v>796</v>
      </c>
      <c r="J7" s="574" t="s">
        <v>797</v>
      </c>
      <c r="K7" s="574" t="s">
        <v>798</v>
      </c>
      <c r="L7" s="1275"/>
      <c r="M7" s="574" t="s">
        <v>799</v>
      </c>
      <c r="N7" s="574" t="s">
        <v>800</v>
      </c>
      <c r="O7" s="574" t="s">
        <v>801</v>
      </c>
      <c r="P7" s="574" t="s">
        <v>796</v>
      </c>
      <c r="Q7" s="1275"/>
      <c r="R7" s="1275"/>
      <c r="S7" s="1275"/>
      <c r="T7" s="1277"/>
    </row>
    <row r="8" spans="1:20" ht="25.05" customHeight="1">
      <c r="A8" s="389"/>
      <c r="B8" s="568"/>
      <c r="C8" s="568"/>
      <c r="D8" s="568"/>
      <c r="E8" s="568"/>
      <c r="F8" s="568"/>
      <c r="G8" s="568"/>
      <c r="H8" s="568"/>
      <c r="I8" s="568"/>
      <c r="J8" s="568"/>
      <c r="K8" s="568"/>
      <c r="L8" s="568"/>
      <c r="M8" s="568"/>
      <c r="N8" s="568"/>
      <c r="O8" s="568"/>
      <c r="P8" s="568"/>
      <c r="Q8" s="568"/>
      <c r="R8" s="568"/>
      <c r="S8" s="568"/>
      <c r="T8" s="569"/>
    </row>
    <row r="9" spans="1:20" ht="25.05" customHeight="1">
      <c r="A9" s="389"/>
      <c r="B9" s="568"/>
      <c r="C9" s="568"/>
      <c r="D9" s="568"/>
      <c r="E9" s="568"/>
      <c r="F9" s="568"/>
      <c r="G9" s="568"/>
      <c r="H9" s="568"/>
      <c r="I9" s="568"/>
      <c r="J9" s="568"/>
      <c r="K9" s="568"/>
      <c r="L9" s="568"/>
      <c r="M9" s="568"/>
      <c r="N9" s="568"/>
      <c r="O9" s="568"/>
      <c r="P9" s="568"/>
      <c r="Q9" s="568"/>
      <c r="R9" s="568"/>
      <c r="S9" s="568"/>
      <c r="T9" s="569"/>
    </row>
    <row r="10" spans="1:20" ht="25.05" customHeight="1">
      <c r="A10" s="389"/>
      <c r="B10" s="568"/>
      <c r="C10" s="568"/>
      <c r="D10" s="568"/>
      <c r="E10" s="568"/>
      <c r="F10" s="568"/>
      <c r="G10" s="568"/>
      <c r="H10" s="568"/>
      <c r="I10" s="568"/>
      <c r="J10" s="568"/>
      <c r="K10" s="568"/>
      <c r="L10" s="568"/>
      <c r="M10" s="568"/>
      <c r="N10" s="568"/>
      <c r="O10" s="568"/>
      <c r="P10" s="568"/>
      <c r="Q10" s="568"/>
      <c r="R10" s="568"/>
      <c r="S10" s="568"/>
      <c r="T10" s="569"/>
    </row>
    <row r="11" spans="1:20" ht="25.05" customHeight="1">
      <c r="A11" s="389"/>
      <c r="B11" s="568"/>
      <c r="C11" s="568"/>
      <c r="D11" s="568"/>
      <c r="E11" s="568"/>
      <c r="F11" s="568"/>
      <c r="G11" s="568"/>
      <c r="H11" s="568"/>
      <c r="I11" s="568"/>
      <c r="J11" s="568"/>
      <c r="K11" s="568"/>
      <c r="L11" s="568"/>
      <c r="M11" s="568"/>
      <c r="N11" s="568"/>
      <c r="O11" s="568"/>
      <c r="P11" s="568"/>
      <c r="Q11" s="568"/>
      <c r="R11" s="568"/>
      <c r="S11" s="568"/>
      <c r="T11" s="569"/>
    </row>
    <row r="12" spans="1:20" ht="25.05" customHeight="1">
      <c r="A12" s="389"/>
      <c r="B12" s="568"/>
      <c r="C12" s="568"/>
      <c r="D12" s="568"/>
      <c r="E12" s="568"/>
      <c r="F12" s="568"/>
      <c r="G12" s="568"/>
      <c r="H12" s="568"/>
      <c r="I12" s="568"/>
      <c r="J12" s="568"/>
      <c r="K12" s="568"/>
      <c r="L12" s="568"/>
      <c r="M12" s="568"/>
      <c r="N12" s="568"/>
      <c r="O12" s="568"/>
      <c r="P12" s="568"/>
      <c r="Q12" s="568"/>
      <c r="R12" s="568"/>
      <c r="S12" s="568"/>
      <c r="T12" s="569"/>
    </row>
    <row r="13" spans="1:20" ht="25.05" customHeight="1">
      <c r="A13" s="389"/>
      <c r="B13" s="568"/>
      <c r="C13" s="568"/>
      <c r="D13" s="568"/>
      <c r="E13" s="568"/>
      <c r="F13" s="568"/>
      <c r="G13" s="568"/>
      <c r="H13" s="568"/>
      <c r="I13" s="568"/>
      <c r="J13" s="568"/>
      <c r="K13" s="568"/>
      <c r="L13" s="568"/>
      <c r="M13" s="568"/>
      <c r="N13" s="568"/>
      <c r="O13" s="568"/>
      <c r="P13" s="568"/>
      <c r="Q13" s="568"/>
      <c r="R13" s="568"/>
      <c r="S13" s="568"/>
      <c r="T13" s="569"/>
    </row>
    <row r="14" spans="1:20" ht="25.05" customHeight="1">
      <c r="A14" s="389"/>
      <c r="B14" s="568"/>
      <c r="C14" s="568"/>
      <c r="D14" s="568"/>
      <c r="E14" s="568"/>
      <c r="F14" s="568"/>
      <c r="G14" s="568"/>
      <c r="H14" s="568"/>
      <c r="I14" s="568"/>
      <c r="J14" s="568"/>
      <c r="K14" s="568"/>
      <c r="L14" s="568"/>
      <c r="M14" s="568"/>
      <c r="N14" s="568"/>
      <c r="O14" s="568"/>
      <c r="P14" s="568"/>
      <c r="Q14" s="568"/>
      <c r="R14" s="568"/>
      <c r="S14" s="568"/>
      <c r="T14" s="569"/>
    </row>
    <row r="15" spans="1:20" ht="25.05" customHeight="1">
      <c r="A15" s="389"/>
      <c r="B15" s="568"/>
      <c r="C15" s="568"/>
      <c r="D15" s="568"/>
      <c r="E15" s="568"/>
      <c r="F15" s="568"/>
      <c r="G15" s="568"/>
      <c r="H15" s="568"/>
      <c r="I15" s="568"/>
      <c r="J15" s="568"/>
      <c r="K15" s="568"/>
      <c r="L15" s="568"/>
      <c r="M15" s="568"/>
      <c r="N15" s="568"/>
      <c r="O15" s="568"/>
      <c r="P15" s="568"/>
      <c r="Q15" s="568"/>
      <c r="R15" s="568"/>
      <c r="S15" s="568"/>
      <c r="T15" s="569"/>
    </row>
    <row r="16" spans="1:20" ht="25.05" customHeight="1">
      <c r="A16" s="389"/>
      <c r="B16" s="568"/>
      <c r="C16" s="568"/>
      <c r="D16" s="568"/>
      <c r="E16" s="568"/>
      <c r="F16" s="568"/>
      <c r="G16" s="568"/>
      <c r="H16" s="568"/>
      <c r="I16" s="568"/>
      <c r="J16" s="568"/>
      <c r="K16" s="568"/>
      <c r="L16" s="568"/>
      <c r="M16" s="568"/>
      <c r="N16" s="568"/>
      <c r="O16" s="568"/>
      <c r="P16" s="568"/>
      <c r="Q16" s="568"/>
      <c r="R16" s="568"/>
      <c r="S16" s="568"/>
      <c r="T16" s="569"/>
    </row>
    <row r="17" spans="1:20" ht="25.05" customHeight="1">
      <c r="A17" s="389"/>
      <c r="B17" s="568"/>
      <c r="C17" s="568"/>
      <c r="D17" s="568"/>
      <c r="E17" s="568"/>
      <c r="F17" s="568"/>
      <c r="G17" s="568"/>
      <c r="H17" s="568"/>
      <c r="I17" s="568"/>
      <c r="J17" s="568"/>
      <c r="K17" s="568"/>
      <c r="L17" s="568"/>
      <c r="M17" s="568"/>
      <c r="N17" s="568"/>
      <c r="O17" s="568"/>
      <c r="P17" s="568"/>
      <c r="Q17" s="568"/>
      <c r="R17" s="568"/>
      <c r="S17" s="568"/>
      <c r="T17" s="569"/>
    </row>
    <row r="18" spans="1:20" ht="25.05" customHeight="1">
      <c r="A18" s="389"/>
      <c r="B18" s="568"/>
      <c r="C18" s="568"/>
      <c r="D18" s="568"/>
      <c r="E18" s="568"/>
      <c r="F18" s="568"/>
      <c r="G18" s="568"/>
      <c r="H18" s="568"/>
      <c r="I18" s="568"/>
      <c r="J18" s="568"/>
      <c r="K18" s="568"/>
      <c r="L18" s="568"/>
      <c r="M18" s="568"/>
      <c r="N18" s="568"/>
      <c r="O18" s="568"/>
      <c r="P18" s="568"/>
      <c r="Q18" s="568"/>
      <c r="R18" s="568"/>
      <c r="S18" s="568"/>
      <c r="T18" s="569"/>
    </row>
    <row r="19" spans="1:20" ht="25.05" customHeight="1">
      <c r="A19" s="389"/>
      <c r="B19" s="568"/>
      <c r="C19" s="568"/>
      <c r="D19" s="568"/>
      <c r="E19" s="568"/>
      <c r="F19" s="568"/>
      <c r="G19" s="568"/>
      <c r="H19" s="568"/>
      <c r="I19" s="568"/>
      <c r="J19" s="568"/>
      <c r="K19" s="568"/>
      <c r="L19" s="568"/>
      <c r="M19" s="568"/>
      <c r="N19" s="568"/>
      <c r="O19" s="568"/>
      <c r="P19" s="568"/>
      <c r="Q19" s="568"/>
      <c r="R19" s="568"/>
      <c r="S19" s="568"/>
      <c r="T19" s="569"/>
    </row>
    <row r="20" spans="1:20" ht="25.05" customHeight="1">
      <c r="A20" s="389"/>
      <c r="B20" s="568"/>
      <c r="C20" s="568"/>
      <c r="D20" s="568"/>
      <c r="E20" s="568"/>
      <c r="F20" s="568"/>
      <c r="G20" s="568"/>
      <c r="H20" s="568"/>
      <c r="I20" s="568"/>
      <c r="J20" s="568"/>
      <c r="K20" s="568"/>
      <c r="L20" s="568"/>
      <c r="M20" s="568"/>
      <c r="N20" s="568"/>
      <c r="O20" s="568"/>
      <c r="P20" s="568"/>
      <c r="Q20" s="568"/>
      <c r="R20" s="568"/>
      <c r="S20" s="568"/>
      <c r="T20" s="569"/>
    </row>
    <row r="21" spans="1:20" ht="25.05" customHeight="1">
      <c r="A21" s="389"/>
      <c r="B21" s="568"/>
      <c r="C21" s="568"/>
      <c r="D21" s="568"/>
      <c r="E21" s="568"/>
      <c r="F21" s="568"/>
      <c r="G21" s="568"/>
      <c r="H21" s="568"/>
      <c r="I21" s="568"/>
      <c r="J21" s="568"/>
      <c r="K21" s="568"/>
      <c r="L21" s="568"/>
      <c r="M21" s="568"/>
      <c r="N21" s="568"/>
      <c r="O21" s="568"/>
      <c r="P21" s="568"/>
      <c r="Q21" s="568"/>
      <c r="R21" s="568"/>
      <c r="S21" s="568"/>
      <c r="T21" s="569"/>
    </row>
    <row r="22" spans="1:20" ht="25.05" customHeight="1">
      <c r="A22" s="389"/>
      <c r="B22" s="568"/>
      <c r="C22" s="568"/>
      <c r="D22" s="568"/>
      <c r="E22" s="568"/>
      <c r="F22" s="568"/>
      <c r="G22" s="568"/>
      <c r="H22" s="568"/>
      <c r="I22" s="568"/>
      <c r="J22" s="568"/>
      <c r="K22" s="568"/>
      <c r="L22" s="568"/>
      <c r="M22" s="568"/>
      <c r="N22" s="568"/>
      <c r="O22" s="568"/>
      <c r="P22" s="568"/>
      <c r="Q22" s="568"/>
      <c r="R22" s="568"/>
      <c r="S22" s="568"/>
      <c r="T22" s="569"/>
    </row>
    <row r="23" spans="1:20" ht="25.05" customHeight="1">
      <c r="A23" s="389"/>
      <c r="B23" s="568"/>
      <c r="C23" s="568"/>
      <c r="D23" s="568"/>
      <c r="E23" s="568"/>
      <c r="F23" s="568"/>
      <c r="G23" s="568"/>
      <c r="H23" s="568"/>
      <c r="I23" s="568"/>
      <c r="J23" s="568"/>
      <c r="K23" s="568"/>
      <c r="L23" s="568"/>
      <c r="M23" s="568"/>
      <c r="N23" s="568"/>
      <c r="O23" s="568"/>
      <c r="P23" s="568"/>
      <c r="Q23" s="568"/>
      <c r="R23" s="568"/>
      <c r="S23" s="568"/>
      <c r="T23" s="569"/>
    </row>
    <row r="24" spans="1:20" ht="25.05" customHeight="1">
      <c r="A24" s="389"/>
      <c r="B24" s="568"/>
      <c r="C24" s="568"/>
      <c r="D24" s="568"/>
      <c r="E24" s="568"/>
      <c r="F24" s="568"/>
      <c r="G24" s="568"/>
      <c r="H24" s="568"/>
      <c r="I24" s="568"/>
      <c r="J24" s="568"/>
      <c r="K24" s="568"/>
      <c r="L24" s="568"/>
      <c r="M24" s="568"/>
      <c r="N24" s="568"/>
      <c r="O24" s="568"/>
      <c r="P24" s="568"/>
      <c r="Q24" s="568"/>
      <c r="R24" s="568"/>
      <c r="S24" s="568"/>
      <c r="T24" s="569"/>
    </row>
    <row r="25" spans="1:20" ht="25.05" customHeight="1">
      <c r="A25" s="389"/>
      <c r="B25" s="568"/>
      <c r="C25" s="568"/>
      <c r="D25" s="568"/>
      <c r="E25" s="568"/>
      <c r="F25" s="568"/>
      <c r="G25" s="568"/>
      <c r="H25" s="568"/>
      <c r="I25" s="568"/>
      <c r="J25" s="568"/>
      <c r="K25" s="568"/>
      <c r="L25" s="568"/>
      <c r="M25" s="568"/>
      <c r="N25" s="568"/>
      <c r="O25" s="568"/>
      <c r="P25" s="568"/>
      <c r="Q25" s="568"/>
      <c r="R25" s="568"/>
      <c r="S25" s="568"/>
      <c r="T25" s="569"/>
    </row>
    <row r="26" spans="1:20" ht="25.05" customHeight="1">
      <c r="A26" s="575"/>
      <c r="B26" s="568"/>
      <c r="C26" s="568"/>
      <c r="D26" s="568"/>
      <c r="E26" s="568"/>
      <c r="F26" s="568"/>
      <c r="G26" s="568"/>
      <c r="H26" s="568"/>
      <c r="I26" s="568"/>
      <c r="J26" s="568"/>
      <c r="K26" s="568"/>
      <c r="L26" s="568"/>
      <c r="M26" s="568"/>
      <c r="N26" s="568"/>
      <c r="O26" s="568"/>
      <c r="P26" s="568"/>
      <c r="Q26" s="568"/>
      <c r="R26" s="568"/>
      <c r="S26" s="568"/>
      <c r="T26" s="569"/>
    </row>
    <row r="27" spans="1:20" ht="25.05" customHeight="1">
      <c r="A27" s="389"/>
      <c r="B27" s="568"/>
      <c r="C27" s="568"/>
      <c r="D27" s="568"/>
      <c r="E27" s="568"/>
      <c r="F27" s="568"/>
      <c r="G27" s="568"/>
      <c r="H27" s="568"/>
      <c r="I27" s="568"/>
      <c r="J27" s="568"/>
      <c r="K27" s="568"/>
      <c r="L27" s="568"/>
      <c r="M27" s="568"/>
      <c r="N27" s="568"/>
      <c r="O27" s="568"/>
      <c r="P27" s="568"/>
      <c r="Q27" s="568"/>
      <c r="R27" s="568"/>
      <c r="S27" s="568"/>
      <c r="T27" s="569"/>
    </row>
    <row r="28" spans="1:20" ht="24.75" customHeight="1">
      <c r="A28" s="389"/>
      <c r="B28" s="568"/>
      <c r="C28" s="568"/>
      <c r="D28" s="568"/>
      <c r="E28" s="568"/>
      <c r="F28" s="568"/>
      <c r="G28" s="568"/>
      <c r="H28" s="568"/>
      <c r="I28" s="568"/>
      <c r="J28" s="568"/>
      <c r="K28" s="568"/>
      <c r="L28" s="568"/>
      <c r="M28" s="568"/>
      <c r="N28" s="568"/>
      <c r="O28" s="568"/>
      <c r="P28" s="568"/>
      <c r="Q28" s="568"/>
      <c r="R28" s="568"/>
      <c r="S28" s="568"/>
      <c r="T28" s="569"/>
    </row>
    <row r="29" spans="1:20" ht="25.05" customHeight="1" thickBot="1">
      <c r="A29" s="570"/>
      <c r="B29" s="571"/>
      <c r="C29" s="571"/>
      <c r="D29" s="571"/>
      <c r="E29" s="571"/>
      <c r="F29" s="571"/>
      <c r="G29" s="571"/>
      <c r="H29" s="571"/>
      <c r="I29" s="571"/>
      <c r="J29" s="571"/>
      <c r="K29" s="571"/>
      <c r="L29" s="571"/>
      <c r="M29" s="571"/>
      <c r="N29" s="571"/>
      <c r="O29" s="571"/>
      <c r="P29" s="571"/>
      <c r="Q29" s="571"/>
      <c r="R29" s="571"/>
      <c r="S29" s="571"/>
      <c r="T29" s="572"/>
    </row>
    <row r="30" spans="1:20">
      <c r="A30" s="1" t="s">
        <v>802</v>
      </c>
    </row>
    <row r="31" spans="1:20">
      <c r="A31" s="1" t="s">
        <v>848</v>
      </c>
    </row>
    <row r="32" spans="1:20">
      <c r="A32" s="1" t="s">
        <v>811</v>
      </c>
    </row>
    <row r="33" spans="1:1">
      <c r="A33" s="1" t="s">
        <v>849</v>
      </c>
    </row>
  </sheetData>
  <mergeCells count="21">
    <mergeCell ref="R6:R7"/>
    <mergeCell ref="S6:S7"/>
    <mergeCell ref="E6:E7"/>
    <mergeCell ref="K2:T2"/>
    <mergeCell ref="J6:K6"/>
    <mergeCell ref="A1:J1"/>
    <mergeCell ref="K4:T4"/>
    <mergeCell ref="A6:A7"/>
    <mergeCell ref="B6:B7"/>
    <mergeCell ref="C6:C7"/>
    <mergeCell ref="D6:D7"/>
    <mergeCell ref="A4:J4"/>
    <mergeCell ref="K1:T1"/>
    <mergeCell ref="F6:I6"/>
    <mergeCell ref="A2:J2"/>
    <mergeCell ref="L6:L7"/>
    <mergeCell ref="A3:J3"/>
    <mergeCell ref="K3:T3"/>
    <mergeCell ref="T6:T7"/>
    <mergeCell ref="M6:P6"/>
    <mergeCell ref="Q6:Q7"/>
  </mergeCells>
  <phoneticPr fontId="14" type="noConversion"/>
  <pageMargins left="0.6692913385826772" right="0.6692913385826772" top="0.59055118110236227" bottom="0.78740157480314965" header="0.39370078740157483" footer="0.47244094488188981"/>
  <pageSetup paperSize="9" firstPageNumber="38" orientation="portrait" useFirstPageNumber="1" r:id="rId1"/>
  <headerFooter alignWithMargins="0">
    <oddFooter>&amp;C&amp;"Arial Unicode MS,標準"&amp;P</oddFooter>
  </headerFooter>
</worksheet>
</file>

<file path=xl/worksheets/sheet44.xml><?xml version="1.0" encoding="utf-8"?>
<worksheet xmlns="http://schemas.openxmlformats.org/spreadsheetml/2006/main" xmlns:r="http://schemas.openxmlformats.org/officeDocument/2006/relationships">
  <sheetPr codeName="Sheet42">
    <tabColor rgb="FFFFFFCC"/>
  </sheetPr>
  <dimension ref="A1:H44"/>
  <sheetViews>
    <sheetView tabSelected="1" topLeftCell="A20" zoomScaleNormal="100" zoomScaleSheetLayoutView="100" workbookViewId="0">
      <selection activeCell="C42" sqref="C42"/>
    </sheetView>
  </sheetViews>
  <sheetFormatPr defaultColWidth="9" defaultRowHeight="16.2"/>
  <cols>
    <col min="1" max="1" width="11.88671875" style="34" customWidth="1"/>
    <col min="2" max="2" width="12.88671875" style="34" customWidth="1"/>
    <col min="3" max="3" width="28.21875" style="34" customWidth="1"/>
    <col min="4" max="4" width="12.44140625" style="34" customWidth="1"/>
    <col min="5" max="5" width="12.44140625" style="34" hidden="1" customWidth="1"/>
    <col min="6" max="6" width="11.77734375" style="34" customWidth="1"/>
    <col min="7" max="7" width="9.6640625" style="34" customWidth="1"/>
    <col min="8" max="8" width="9.21875" style="34" customWidth="1"/>
    <col min="9" max="16384" width="9" style="34"/>
  </cols>
  <sheetData>
    <row r="1" spans="1:8" ht="24.6">
      <c r="A1" s="1023" t="s">
        <v>455</v>
      </c>
      <c r="B1" s="1289"/>
      <c r="C1" s="1289"/>
      <c r="D1" s="1289"/>
      <c r="E1" s="1289"/>
      <c r="F1" s="1289"/>
      <c r="G1" s="1289"/>
      <c r="H1" s="1289"/>
    </row>
    <row r="2" spans="1:8" ht="22.2">
      <c r="A2" s="1034" t="s">
        <v>456</v>
      </c>
      <c r="B2" s="1290"/>
      <c r="C2" s="1290"/>
      <c r="D2" s="1290"/>
      <c r="E2" s="1290"/>
      <c r="F2" s="1290"/>
      <c r="G2" s="1290"/>
      <c r="H2" s="1290"/>
    </row>
    <row r="3" spans="1:8" ht="22.2">
      <c r="A3" s="1033" t="s">
        <v>582</v>
      </c>
      <c r="B3" s="1290"/>
      <c r="C3" s="1290"/>
      <c r="D3" s="1290"/>
      <c r="E3" s="1290"/>
      <c r="F3" s="1290"/>
      <c r="G3" s="1290"/>
      <c r="H3" s="1290"/>
    </row>
    <row r="4" spans="1:8" s="287" customFormat="1" ht="19.8">
      <c r="A4" s="1097" t="s">
        <v>1034</v>
      </c>
      <c r="B4" s="1097"/>
      <c r="C4" s="1097"/>
      <c r="D4" s="1097"/>
      <c r="E4" s="1097"/>
      <c r="F4" s="1097"/>
      <c r="G4" s="1097"/>
      <c r="H4" s="1097"/>
    </row>
    <row r="5" spans="1:8" s="41" customFormat="1" ht="16.8" thickBot="1">
      <c r="A5" s="1297" t="s">
        <v>645</v>
      </c>
      <c r="B5" s="1297"/>
      <c r="C5" s="1297"/>
      <c r="D5" s="1297"/>
      <c r="E5" s="1297"/>
      <c r="F5" s="1297"/>
      <c r="G5" s="1297"/>
      <c r="H5" s="1297"/>
    </row>
    <row r="6" spans="1:8" ht="23.25" customHeight="1">
      <c r="A6" s="1293" t="s">
        <v>583</v>
      </c>
      <c r="B6" s="1291" t="s">
        <v>700</v>
      </c>
      <c r="C6" s="1093" t="s">
        <v>584</v>
      </c>
      <c r="D6" s="1291" t="s">
        <v>837</v>
      </c>
      <c r="E6" s="1291"/>
      <c r="F6" s="1295"/>
      <c r="G6" s="1295"/>
      <c r="H6" s="1296"/>
    </row>
    <row r="7" spans="1:8" ht="33.75" customHeight="1">
      <c r="A7" s="1294"/>
      <c r="B7" s="1292"/>
      <c r="C7" s="1292"/>
      <c r="D7" s="693" t="s">
        <v>309</v>
      </c>
      <c r="E7" s="693"/>
      <c r="F7" s="693" t="s">
        <v>219</v>
      </c>
      <c r="G7" s="693" t="s">
        <v>77</v>
      </c>
      <c r="H7" s="767" t="s">
        <v>989</v>
      </c>
    </row>
    <row r="8" spans="1:8" s="97" customFormat="1" ht="25.05" customHeight="1">
      <c r="A8" s="844">
        <f>'40-41.各項費用彙計表(7級) '!B8</f>
        <v>497224</v>
      </c>
      <c r="B8" s="845">
        <f>SUM(B9,B10,B11,B12,B13,B14,B15,B16,B17)</f>
        <v>528997</v>
      </c>
      <c r="C8" s="555" t="s">
        <v>461</v>
      </c>
      <c r="D8" s="848">
        <f>F8+G8+H8</f>
        <v>545960</v>
      </c>
      <c r="E8" s="848">
        <f>D8-A8</f>
        <v>48736</v>
      </c>
      <c r="F8" s="845">
        <f>SUM(F9,F10,F11,F12,F13,F14,F15,F16,F17)</f>
        <v>544960</v>
      </c>
      <c r="G8" s="845">
        <f>SUM(G9,G10,G11,G12,G13,G14,G15,G16,G17)</f>
        <v>1000</v>
      </c>
      <c r="H8" s="531">
        <f>SUM(H9,H10,H11,H12,H13,H14,H15,H16,H17)</f>
        <v>0</v>
      </c>
    </row>
    <row r="9" spans="1:8" ht="25.05" customHeight="1">
      <c r="A9" s="205">
        <f>'40-41.各項費用彙計表(7級) '!B9</f>
        <v>11264</v>
      </c>
      <c r="B9" s="157">
        <f>'40-41.各項費用彙計表(7級) '!C9</f>
        <v>12888</v>
      </c>
      <c r="C9" s="200" t="s">
        <v>462</v>
      </c>
      <c r="D9" s="849">
        <f t="shared" ref="D9:D44" si="0">F9+G9+H9</f>
        <v>12888</v>
      </c>
      <c r="E9" s="849">
        <f t="shared" ref="E9:E42" si="1">D9-A9</f>
        <v>1624</v>
      </c>
      <c r="F9" s="157">
        <f>'40-41.各項費用彙計表(7級) '!G9</f>
        <v>12508</v>
      </c>
      <c r="G9" s="157">
        <f>'40-41.各項費用彙計表(7級) '!H9</f>
        <v>380</v>
      </c>
      <c r="H9" s="471">
        <f>'40-41.各項費用彙計表(7級) '!I9</f>
        <v>0</v>
      </c>
    </row>
    <row r="10" spans="1:8" ht="25.05" customHeight="1">
      <c r="A10" s="205">
        <f>'40-41.各項費用彙計表(7級) '!B13</f>
        <v>16057</v>
      </c>
      <c r="B10" s="157">
        <f>'40-41.各項費用彙計表(7級) '!C13</f>
        <v>18055</v>
      </c>
      <c r="C10" s="200" t="s">
        <v>466</v>
      </c>
      <c r="D10" s="849">
        <f t="shared" si="0"/>
        <v>18380</v>
      </c>
      <c r="E10" s="849">
        <f t="shared" si="1"/>
        <v>2323</v>
      </c>
      <c r="F10" s="157">
        <f>'40-41.各項費用彙計表(7級) '!G13</f>
        <v>18282</v>
      </c>
      <c r="G10" s="157">
        <f>'40-41.各項費用彙計表(7級) '!H13</f>
        <v>98</v>
      </c>
      <c r="H10" s="471">
        <f>'40-41.各項費用彙計表(7級) '!I13</f>
        <v>0</v>
      </c>
    </row>
    <row r="11" spans="1:8" ht="25.05" customHeight="1">
      <c r="A11" s="205">
        <f>'40-41.各項費用彙計表(7級) '!B17</f>
        <v>4306</v>
      </c>
      <c r="B11" s="157">
        <f>'40-41.各項費用彙計表(7級) '!C17</f>
        <v>4484</v>
      </c>
      <c r="C11" s="200" t="s">
        <v>469</v>
      </c>
      <c r="D11" s="849">
        <f t="shared" si="0"/>
        <v>4518</v>
      </c>
      <c r="E11" s="849">
        <f t="shared" si="1"/>
        <v>212</v>
      </c>
      <c r="F11" s="157">
        <f>'40-41.各項費用彙計表(7級) '!G17</f>
        <v>4518</v>
      </c>
      <c r="G11" s="157">
        <f>'40-41.各項費用彙計表(7級) '!H17</f>
        <v>0</v>
      </c>
      <c r="H11" s="471">
        <f>'40-41.各項費用彙計表(7級) '!I17</f>
        <v>0</v>
      </c>
    </row>
    <row r="12" spans="1:8" s="41" customFormat="1" ht="25.05" customHeight="1">
      <c r="A12" s="205">
        <f>'40-41.各項費用彙計表(7級) '!B21</f>
        <v>9338</v>
      </c>
      <c r="B12" s="157">
        <f>'40-41.各項費用彙計表(7級) '!C21</f>
        <v>10311</v>
      </c>
      <c r="C12" s="200" t="s">
        <v>472</v>
      </c>
      <c r="D12" s="849">
        <f t="shared" si="0"/>
        <v>8948</v>
      </c>
      <c r="E12" s="849">
        <f t="shared" si="1"/>
        <v>-390</v>
      </c>
      <c r="F12" s="157">
        <f>'40-41.各項費用彙計表(7級) '!G21</f>
        <v>8948</v>
      </c>
      <c r="G12" s="157">
        <f>'40-41.各項費用彙計表(7級) '!H21</f>
        <v>0</v>
      </c>
      <c r="H12" s="471">
        <f>'40-41.各項費用彙計表(7級) '!I21</f>
        <v>0</v>
      </c>
    </row>
    <row r="13" spans="1:8" s="41" customFormat="1" ht="25.05" customHeight="1">
      <c r="A13" s="205">
        <f>'40-41.各項費用彙計表(7級) '!B25</f>
        <v>18068</v>
      </c>
      <c r="B13" s="157">
        <f>'40-41.各項費用彙計表(7級) '!C25</f>
        <v>15839</v>
      </c>
      <c r="C13" s="200" t="s">
        <v>585</v>
      </c>
      <c r="D13" s="849">
        <f t="shared" si="0"/>
        <v>25841</v>
      </c>
      <c r="E13" s="852">
        <f t="shared" si="1"/>
        <v>7773</v>
      </c>
      <c r="F13" s="157">
        <f>'40-41.各項費用彙計表(7級) '!G25</f>
        <v>25381</v>
      </c>
      <c r="G13" s="157">
        <f>'40-41.各項費用彙計表(7級) '!H25</f>
        <v>460</v>
      </c>
      <c r="H13" s="471">
        <f>'40-41.各項費用彙計表(7級) '!I25</f>
        <v>0</v>
      </c>
    </row>
    <row r="14" spans="1:8" s="41" customFormat="1" ht="25.05" customHeight="1">
      <c r="A14" s="205">
        <f>'40-41.各項費用彙計表(7級) '!B30</f>
        <v>122</v>
      </c>
      <c r="B14" s="157">
        <f>'40-41.各項費用彙計表(7級) '!C30</f>
        <v>155</v>
      </c>
      <c r="C14" s="200" t="s">
        <v>586</v>
      </c>
      <c r="D14" s="849">
        <f t="shared" si="0"/>
        <v>136</v>
      </c>
      <c r="E14" s="849">
        <f t="shared" si="1"/>
        <v>14</v>
      </c>
      <c r="F14" s="157">
        <f>'40-41.各項費用彙計表(7級) '!G30</f>
        <v>136</v>
      </c>
      <c r="G14" s="157">
        <f>'40-41.各項費用彙計表(7級) '!H30</f>
        <v>0</v>
      </c>
      <c r="H14" s="471">
        <f>'40-41.各項費用彙計表(7級) '!I30</f>
        <v>0</v>
      </c>
    </row>
    <row r="15" spans="1:8" s="41" customFormat="1" ht="25.05" customHeight="1">
      <c r="A15" s="205">
        <f>'40-41.各項費用彙計表(7級) '!B33</f>
        <v>94081</v>
      </c>
      <c r="B15" s="157">
        <f>'40-41.各項費用彙計表(7級) '!C33</f>
        <v>110534</v>
      </c>
      <c r="C15" s="202" t="s">
        <v>0</v>
      </c>
      <c r="D15" s="849">
        <f t="shared" si="0"/>
        <v>108407</v>
      </c>
      <c r="E15" s="852">
        <f t="shared" si="1"/>
        <v>14326</v>
      </c>
      <c r="F15" s="157">
        <f>'40-41.各項費用彙計表(7級) '!G33</f>
        <v>108345</v>
      </c>
      <c r="G15" s="157">
        <f>'40-41.各項費用彙計表(7級) '!H33</f>
        <v>62</v>
      </c>
      <c r="H15" s="471">
        <f>'40-41.各項費用彙計表(7級) '!I33</f>
        <v>0</v>
      </c>
    </row>
    <row r="16" spans="1:8" s="41" customFormat="1" ht="25.05" customHeight="1">
      <c r="A16" s="205">
        <f>'40-41.各項費用彙計表(7級) '!B38</f>
        <v>343691</v>
      </c>
      <c r="B16" s="157">
        <f>'40-41.各項費用彙計表(7級) '!C38</f>
        <v>356431</v>
      </c>
      <c r="C16" s="200" t="s">
        <v>587</v>
      </c>
      <c r="D16" s="849">
        <f t="shared" si="0"/>
        <v>366542</v>
      </c>
      <c r="E16" s="849">
        <f t="shared" si="1"/>
        <v>22851</v>
      </c>
      <c r="F16" s="157">
        <f>'40-41.各項費用彙計表(7級) '!G38</f>
        <v>366542</v>
      </c>
      <c r="G16" s="157">
        <f>'40-41.各項費用彙計表(7級) '!H38</f>
        <v>0</v>
      </c>
      <c r="H16" s="471">
        <f>'40-41.各項費用彙計表(7級) '!I38</f>
        <v>0</v>
      </c>
    </row>
    <row r="17" spans="1:8" ht="25.05" customHeight="1">
      <c r="A17" s="205">
        <f>'40-41.各項費用彙計表(7級) '!B48</f>
        <v>298</v>
      </c>
      <c r="B17" s="157">
        <f>'40-41.各項費用彙計表(7級) '!C48</f>
        <v>300</v>
      </c>
      <c r="C17" s="200" t="s">
        <v>588</v>
      </c>
      <c r="D17" s="849">
        <f t="shared" si="0"/>
        <v>300</v>
      </c>
      <c r="E17" s="849">
        <f t="shared" si="1"/>
        <v>2</v>
      </c>
      <c r="F17" s="157">
        <f>'40-41.各項費用彙計表(7級) '!G48</f>
        <v>300</v>
      </c>
      <c r="G17" s="157">
        <f>'40-41.各項費用彙計表(7級) '!H48</f>
        <v>0</v>
      </c>
      <c r="H17" s="471">
        <f>'40-41.各項費用彙計表(7級) '!I48</f>
        <v>0</v>
      </c>
    </row>
    <row r="18" spans="1:8" s="97" customFormat="1" ht="25.05" customHeight="1">
      <c r="A18" s="482">
        <f>SUM(A19,A20)</f>
        <v>18039</v>
      </c>
      <c r="B18" s="196">
        <f>SUM(B19,B20)</f>
        <v>27721</v>
      </c>
      <c r="C18" s="692" t="s">
        <v>6</v>
      </c>
      <c r="D18" s="676">
        <f t="shared" si="0"/>
        <v>27693</v>
      </c>
      <c r="E18" s="676">
        <f t="shared" si="1"/>
        <v>9654</v>
      </c>
      <c r="F18" s="196">
        <f>SUM(F19,F20)</f>
        <v>27594</v>
      </c>
      <c r="G18" s="196">
        <f>SUM(G19,G20)</f>
        <v>99</v>
      </c>
      <c r="H18" s="542">
        <f>SUM(H19,H20)</f>
        <v>0</v>
      </c>
    </row>
    <row r="19" spans="1:8" ht="25.05" customHeight="1">
      <c r="A19" s="205">
        <f>'40-41.各項費用彙計表(7級) '!B51</f>
        <v>1023</v>
      </c>
      <c r="B19" s="157">
        <f>'40-41.各項費用彙計表(7級) '!C51</f>
        <v>1069</v>
      </c>
      <c r="C19" s="202" t="s">
        <v>589</v>
      </c>
      <c r="D19" s="849">
        <f t="shared" si="0"/>
        <v>1041</v>
      </c>
      <c r="E19" s="849">
        <f t="shared" si="1"/>
        <v>18</v>
      </c>
      <c r="F19" s="157">
        <f>'40-41.各項費用彙計表(7級) '!G51</f>
        <v>1041</v>
      </c>
      <c r="G19" s="157">
        <f>'40-41.各項費用彙計表(7級) '!H51</f>
        <v>0</v>
      </c>
      <c r="H19" s="471">
        <f>'40-41.各項費用彙計表(7級) '!I51</f>
        <v>0</v>
      </c>
    </row>
    <row r="20" spans="1:8" ht="25.05" customHeight="1">
      <c r="A20" s="205">
        <f>'40-41.各項費用彙計表(7級) '!B54</f>
        <v>17016</v>
      </c>
      <c r="B20" s="157">
        <f>'40-41.各項費用彙計表(7級) '!C54</f>
        <v>26652</v>
      </c>
      <c r="C20" s="202" t="s">
        <v>10</v>
      </c>
      <c r="D20" s="849">
        <f t="shared" si="0"/>
        <v>26652</v>
      </c>
      <c r="E20" s="852">
        <f t="shared" si="1"/>
        <v>9636</v>
      </c>
      <c r="F20" s="157">
        <f>'40-41.各項費用彙計表(7級) '!G54</f>
        <v>26553</v>
      </c>
      <c r="G20" s="157">
        <f>'40-41.各項費用彙計表(7級) '!H54</f>
        <v>99</v>
      </c>
      <c r="H20" s="471">
        <f>'40-41.各項費用彙計表(7級) '!I54</f>
        <v>0</v>
      </c>
    </row>
    <row r="21" spans="1:8" s="97" customFormat="1" ht="25.05" customHeight="1">
      <c r="A21" s="482">
        <f>SUM(A22,A23,A24,A25,A26)</f>
        <v>16025</v>
      </c>
      <c r="B21" s="196">
        <f>SUM(B22,B23,B24,B25,B26)</f>
        <v>15168</v>
      </c>
      <c r="C21" s="53" t="s">
        <v>13</v>
      </c>
      <c r="D21" s="676">
        <f t="shared" si="0"/>
        <v>16196</v>
      </c>
      <c r="E21" s="676">
        <f t="shared" si="1"/>
        <v>171</v>
      </c>
      <c r="F21" s="196">
        <f>SUM(F22,F23,F24,F25,F26)</f>
        <v>16196</v>
      </c>
      <c r="G21" s="196">
        <f>SUM(G22,G23,G24,G25,G26)</f>
        <v>0</v>
      </c>
      <c r="H21" s="542">
        <f>SUM(H22,H23,H24,H25,H26)</f>
        <v>0</v>
      </c>
    </row>
    <row r="22" spans="1:8" ht="25.05" hidden="1" customHeight="1">
      <c r="A22" s="205">
        <f>'40-41.各項費用彙計表(7級) '!B61</f>
        <v>0</v>
      </c>
      <c r="B22" s="157">
        <f>'40-41.各項費用彙計表(7級) '!C61</f>
        <v>0</v>
      </c>
      <c r="C22" s="200" t="s">
        <v>590</v>
      </c>
      <c r="D22" s="676">
        <f t="shared" si="0"/>
        <v>0</v>
      </c>
      <c r="E22" s="676">
        <f t="shared" si="1"/>
        <v>0</v>
      </c>
      <c r="F22" s="157">
        <f>'40-41.各項費用彙計表(7級) '!G61</f>
        <v>0</v>
      </c>
      <c r="G22" s="157">
        <f>'40-41.各項費用彙計表(7級) '!H61</f>
        <v>0</v>
      </c>
      <c r="H22" s="471">
        <f>'40-41.各項費用彙計表(7級) '!I61</f>
        <v>0</v>
      </c>
    </row>
    <row r="23" spans="1:8" ht="25.05" customHeight="1">
      <c r="A23" s="205">
        <f>'40-41.各項費用彙計表(7級) '!B63</f>
        <v>2076</v>
      </c>
      <c r="B23" s="157">
        <f>'40-41.各項費用彙計表(7級) '!C63</f>
        <v>1833</v>
      </c>
      <c r="C23" s="200" t="s">
        <v>591</v>
      </c>
      <c r="D23" s="849">
        <f t="shared" si="0"/>
        <v>2095</v>
      </c>
      <c r="E23" s="849">
        <f t="shared" si="1"/>
        <v>19</v>
      </c>
      <c r="F23" s="157">
        <f>'40-41.各項費用彙計表(7級) '!G63</f>
        <v>2095</v>
      </c>
      <c r="G23" s="157">
        <f>'40-41.各項費用彙計表(7級) '!H63</f>
        <v>0</v>
      </c>
      <c r="H23" s="471">
        <f>'40-41.各項費用彙計表(7級) '!I63</f>
        <v>0</v>
      </c>
    </row>
    <row r="24" spans="1:8" ht="25.05" customHeight="1">
      <c r="A24" s="205">
        <f>'40-41.各項費用彙計表(7級) '!B65</f>
        <v>9213</v>
      </c>
      <c r="B24" s="157">
        <f>'40-41.各項費用彙計表(7級) '!C65</f>
        <v>8492</v>
      </c>
      <c r="C24" s="200" t="s">
        <v>592</v>
      </c>
      <c r="D24" s="849">
        <f t="shared" si="0"/>
        <v>9284</v>
      </c>
      <c r="E24" s="849">
        <f t="shared" si="1"/>
        <v>71</v>
      </c>
      <c r="F24" s="157">
        <f>'40-41.各項費用彙計表(7級) '!G65</f>
        <v>9284</v>
      </c>
      <c r="G24" s="157">
        <f>'40-41.各項費用彙計表(7級) '!H65</f>
        <v>0</v>
      </c>
      <c r="H24" s="471">
        <f>'40-41.各項費用彙計表(7級) '!I65</f>
        <v>0</v>
      </c>
    </row>
    <row r="25" spans="1:8" ht="25.05" customHeight="1">
      <c r="A25" s="205">
        <f>'40-41.各項費用彙計表(7級) '!B68</f>
        <v>4682</v>
      </c>
      <c r="B25" s="157">
        <f>'40-41.各項費用彙計表(7級) '!C68</f>
        <v>4743</v>
      </c>
      <c r="C25" s="200" t="s">
        <v>593</v>
      </c>
      <c r="D25" s="849">
        <f t="shared" si="0"/>
        <v>4763</v>
      </c>
      <c r="E25" s="849">
        <f t="shared" si="1"/>
        <v>81</v>
      </c>
      <c r="F25" s="157">
        <f>'40-41.各項費用彙計表(7級) '!G68</f>
        <v>4763</v>
      </c>
      <c r="G25" s="157">
        <f>'40-41.各項費用彙計表(7級) '!H68</f>
        <v>0</v>
      </c>
      <c r="H25" s="471">
        <f>'40-41.各項費用彙計表(7級) '!I68</f>
        <v>0</v>
      </c>
    </row>
    <row r="26" spans="1:8" ht="25.05" customHeight="1">
      <c r="A26" s="205">
        <f>'40-41.各項費用彙計表(7級) '!B70</f>
        <v>54</v>
      </c>
      <c r="B26" s="157">
        <f>'40-41.各項費用彙計表(7級) '!C70</f>
        <v>100</v>
      </c>
      <c r="C26" s="200" t="s">
        <v>594</v>
      </c>
      <c r="D26" s="849">
        <f t="shared" si="0"/>
        <v>54</v>
      </c>
      <c r="E26" s="849">
        <f t="shared" si="1"/>
        <v>0</v>
      </c>
      <c r="F26" s="157">
        <f>'40-41.各項費用彙計表(7級) '!G70</f>
        <v>54</v>
      </c>
      <c r="G26" s="157">
        <f>'40-41.各項費用彙計表(7級) '!H70</f>
        <v>0</v>
      </c>
      <c r="H26" s="471">
        <f>'40-41.各項費用彙計表(7級) '!I70</f>
        <v>0</v>
      </c>
    </row>
    <row r="27" spans="1:8" s="97" customFormat="1" ht="25.05" customHeight="1">
      <c r="A27" s="482">
        <f>A28+A29</f>
        <v>30019</v>
      </c>
      <c r="B27" s="196">
        <f>B28+B29</f>
        <v>42356</v>
      </c>
      <c r="C27" s="53" t="s">
        <v>595</v>
      </c>
      <c r="D27" s="676">
        <f t="shared" ref="D27:H27" si="2">D28+D29</f>
        <v>40000</v>
      </c>
      <c r="E27" s="676">
        <f t="shared" si="2"/>
        <v>9981</v>
      </c>
      <c r="F27" s="196">
        <f t="shared" si="2"/>
        <v>40000</v>
      </c>
      <c r="G27" s="196">
        <f t="shared" si="2"/>
        <v>0</v>
      </c>
      <c r="H27" s="542">
        <f t="shared" si="2"/>
        <v>0</v>
      </c>
    </row>
    <row r="28" spans="1:8" ht="25.05" customHeight="1">
      <c r="A28" s="205">
        <f>'40-41.各項費用彙計表(7級) '!B73</f>
        <v>16810</v>
      </c>
      <c r="B28" s="157">
        <f>'40-41.各項費用彙計表(7級) '!C73</f>
        <v>21109</v>
      </c>
      <c r="C28" s="200" t="str">
        <f>'40-41.各項費用彙計表(7級) '!D73</f>
        <v xml:space="preserve">  不動產、廠房及設備折舊</v>
      </c>
      <c r="D28" s="849">
        <f>'40-41.各項費用彙計表(7級) '!E73</f>
        <v>19994</v>
      </c>
      <c r="E28" s="849">
        <f t="shared" si="1"/>
        <v>3184</v>
      </c>
      <c r="F28" s="157">
        <f>'40-41.各項費用彙計表(7級) '!G73</f>
        <v>19994</v>
      </c>
      <c r="G28" s="157">
        <f>'40-41.各項費用彙計表(7級) '!H73</f>
        <v>0</v>
      </c>
      <c r="H28" s="471">
        <f>'40-41.各項費用彙計表(7級) '!I73</f>
        <v>0</v>
      </c>
    </row>
    <row r="29" spans="1:8" ht="25.05" customHeight="1">
      <c r="A29" s="205">
        <f>'40-41.各項費用彙計表(7級) '!B77</f>
        <v>13209</v>
      </c>
      <c r="B29" s="157">
        <f>'40-41.各項費用彙計表(7級) '!C77</f>
        <v>21247</v>
      </c>
      <c r="C29" s="200" t="s">
        <v>596</v>
      </c>
      <c r="D29" s="849">
        <f t="shared" si="0"/>
        <v>20006</v>
      </c>
      <c r="E29" s="852">
        <f t="shared" si="1"/>
        <v>6797</v>
      </c>
      <c r="F29" s="157">
        <f>'40-41.各項費用彙計表(7級) '!G77</f>
        <v>20006</v>
      </c>
      <c r="G29" s="157">
        <f>'40-41.各項費用彙計表(7級) '!H77</f>
        <v>0</v>
      </c>
      <c r="H29" s="471">
        <f>'40-41.各項費用彙計表(7級) '!I77</f>
        <v>0</v>
      </c>
    </row>
    <row r="30" spans="1:8" s="97" customFormat="1" ht="25.05" hidden="1" customHeight="1">
      <c r="A30" s="482">
        <f>A31+A32+A33+A34</f>
        <v>0</v>
      </c>
      <c r="B30" s="196">
        <f>B32+B31+B33</f>
        <v>0</v>
      </c>
      <c r="C30" s="53" t="s">
        <v>991</v>
      </c>
      <c r="D30" s="676">
        <f t="shared" si="0"/>
        <v>0</v>
      </c>
      <c r="E30" s="676">
        <f t="shared" si="1"/>
        <v>0</v>
      </c>
      <c r="F30" s="196">
        <f>F32+F31+F33</f>
        <v>0</v>
      </c>
      <c r="G30" s="196">
        <f>G32+G31+G33</f>
        <v>0</v>
      </c>
      <c r="H30" s="542">
        <f>H32+H31+H33</f>
        <v>0</v>
      </c>
    </row>
    <row r="31" spans="1:8" ht="25.05" hidden="1" customHeight="1">
      <c r="A31" s="205">
        <f>'40-41.各項費用彙計表(7級) '!B81</f>
        <v>0</v>
      </c>
      <c r="B31" s="157">
        <f>'40-41.各項費用彙計表(7級) '!C81</f>
        <v>0</v>
      </c>
      <c r="C31" s="200" t="s">
        <v>683</v>
      </c>
      <c r="D31" s="676">
        <f t="shared" si="0"/>
        <v>0</v>
      </c>
      <c r="E31" s="676">
        <f t="shared" si="1"/>
        <v>0</v>
      </c>
      <c r="F31" s="157">
        <f>'40-41.各項費用彙計表(7級) '!G81</f>
        <v>0</v>
      </c>
      <c r="G31" s="157">
        <f>'40-41.各項費用彙計表(7級) '!H81</f>
        <v>0</v>
      </c>
      <c r="H31" s="471">
        <f>'40-41.各項費用彙計表(7級) '!I81</f>
        <v>0</v>
      </c>
    </row>
    <row r="32" spans="1:8" ht="25.05" hidden="1" customHeight="1">
      <c r="A32" s="205">
        <f>'40-41.各項費用彙計表(7級) '!B83</f>
        <v>0</v>
      </c>
      <c r="B32" s="157">
        <f>'40-41.各項費用彙計表(7級) '!C83</f>
        <v>0</v>
      </c>
      <c r="C32" s="200" t="s">
        <v>597</v>
      </c>
      <c r="D32" s="676">
        <f t="shared" si="0"/>
        <v>0</v>
      </c>
      <c r="E32" s="676">
        <f t="shared" si="1"/>
        <v>0</v>
      </c>
      <c r="F32" s="157">
        <f>'40-41.各項費用彙計表(7級) '!G83</f>
        <v>0</v>
      </c>
      <c r="G32" s="157">
        <f>'40-41.各項費用彙計表(7級) '!H83</f>
        <v>0</v>
      </c>
      <c r="H32" s="471">
        <f>'40-41.各項費用彙計表(7級) '!I83</f>
        <v>0</v>
      </c>
    </row>
    <row r="33" spans="1:8" ht="25.05" hidden="1" customHeight="1">
      <c r="A33" s="205">
        <f>'40-41.各項費用彙計表(7級) '!B85</f>
        <v>0</v>
      </c>
      <c r="B33" s="157">
        <f>'40-41.各項費用彙計表(7級) '!C85</f>
        <v>0</v>
      </c>
      <c r="C33" s="200" t="s">
        <v>598</v>
      </c>
      <c r="D33" s="676">
        <f t="shared" si="0"/>
        <v>0</v>
      </c>
      <c r="E33" s="676">
        <f t="shared" si="1"/>
        <v>0</v>
      </c>
      <c r="F33" s="157">
        <f>'40-41.各項費用彙計表(7級) '!G85</f>
        <v>0</v>
      </c>
      <c r="G33" s="157">
        <f>'40-41.各項費用彙計表(7級) '!H85</f>
        <v>0</v>
      </c>
      <c r="H33" s="471">
        <f>'40-41.各項費用彙計表(7級) '!I85</f>
        <v>0</v>
      </c>
    </row>
    <row r="34" spans="1:8" ht="25.05" hidden="1" customHeight="1">
      <c r="A34" s="205">
        <f>'40-41.各項費用彙計表(7級) '!B86</f>
        <v>0</v>
      </c>
      <c r="B34" s="157">
        <v>0</v>
      </c>
      <c r="C34" s="200" t="s">
        <v>839</v>
      </c>
      <c r="D34" s="676">
        <f t="shared" si="0"/>
        <v>0</v>
      </c>
      <c r="E34" s="676">
        <f t="shared" si="1"/>
        <v>0</v>
      </c>
      <c r="F34" s="157">
        <v>0</v>
      </c>
      <c r="G34" s="157">
        <v>0</v>
      </c>
      <c r="H34" s="471">
        <v>0</v>
      </c>
    </row>
    <row r="35" spans="1:8" ht="21" hidden="1" customHeight="1" thickBot="1">
      <c r="A35" s="537"/>
      <c r="B35" s="328"/>
      <c r="C35" s="761"/>
      <c r="D35" s="694"/>
      <c r="E35" s="694">
        <f t="shared" si="1"/>
        <v>0</v>
      </c>
      <c r="F35" s="328"/>
      <c r="G35" s="328"/>
      <c r="H35" s="507"/>
    </row>
    <row r="36" spans="1:8" s="97" customFormat="1" ht="35.25" hidden="1" customHeight="1">
      <c r="A36" s="846">
        <f>A37</f>
        <v>0</v>
      </c>
      <c r="B36" s="847">
        <f>B37</f>
        <v>0</v>
      </c>
      <c r="C36" s="782" t="s">
        <v>710</v>
      </c>
      <c r="D36" s="850">
        <f t="shared" si="0"/>
        <v>0</v>
      </c>
      <c r="E36" s="850">
        <f t="shared" si="1"/>
        <v>0</v>
      </c>
      <c r="F36" s="847">
        <f>F37</f>
        <v>0</v>
      </c>
      <c r="G36" s="783">
        <f>G37</f>
        <v>0</v>
      </c>
      <c r="H36" s="784">
        <f>H37</f>
        <v>0</v>
      </c>
    </row>
    <row r="37" spans="1:8" ht="25.05" hidden="1" customHeight="1">
      <c r="A37" s="205">
        <f>'40-41.各項費用彙計表(7級) '!B89</f>
        <v>0</v>
      </c>
      <c r="B37" s="157">
        <f>'40-41.各項費用彙計表(7級) '!C89</f>
        <v>0</v>
      </c>
      <c r="C37" s="200" t="s">
        <v>711</v>
      </c>
      <c r="D37" s="849">
        <f t="shared" si="0"/>
        <v>0</v>
      </c>
      <c r="E37" s="849">
        <f t="shared" si="1"/>
        <v>0</v>
      </c>
      <c r="F37" s="157">
        <f>'40-41.各項費用彙計表(7級) '!G89</f>
        <v>0</v>
      </c>
      <c r="G37" s="157">
        <f>'40-41.各項費用彙計表(7級) '!H89</f>
        <v>0</v>
      </c>
      <c r="H37" s="471">
        <f>'40-41.各項費用彙計表(7級) '!I89</f>
        <v>0</v>
      </c>
    </row>
    <row r="38" spans="1:8" ht="25.05" hidden="1" customHeight="1">
      <c r="A38" s="482">
        <f>'40-41.各項費用彙計表(7級) '!B91</f>
        <v>0</v>
      </c>
      <c r="B38" s="157">
        <f>'40-41.各項費用彙計表(7級) '!C91</f>
        <v>0</v>
      </c>
      <c r="C38" s="53" t="s">
        <v>681</v>
      </c>
      <c r="D38" s="676">
        <f t="shared" si="0"/>
        <v>0</v>
      </c>
      <c r="E38" s="676">
        <f t="shared" si="1"/>
        <v>0</v>
      </c>
      <c r="F38" s="157">
        <f>'40-41.各項費用彙計表(7級) '!G91</f>
        <v>0</v>
      </c>
      <c r="G38" s="157">
        <f>'40-41.各項費用彙計表(7級) '!H91</f>
        <v>0</v>
      </c>
      <c r="H38" s="471">
        <f>'40-41.各項費用彙計表(7級) '!I91</f>
        <v>0</v>
      </c>
    </row>
    <row r="39" spans="1:8" ht="25.05" hidden="1" customHeight="1">
      <c r="A39" s="205">
        <f>'40-41.各項費用彙計表(7級) '!B92</f>
        <v>0</v>
      </c>
      <c r="B39" s="157">
        <f>'40-41.各項費用彙計表(7級) '!C92</f>
        <v>0</v>
      </c>
      <c r="C39" s="200" t="s">
        <v>682</v>
      </c>
      <c r="D39" s="676">
        <f t="shared" si="0"/>
        <v>0</v>
      </c>
      <c r="E39" s="676">
        <f t="shared" si="1"/>
        <v>0</v>
      </c>
      <c r="F39" s="157">
        <f>'40-41.各項費用彙計表(7級) '!G92</f>
        <v>0</v>
      </c>
      <c r="G39" s="157">
        <f>'40-41.各項費用彙計表(7級) '!H92</f>
        <v>0</v>
      </c>
      <c r="H39" s="471">
        <f>'40-41.各項費用彙計表(7級) '!I92</f>
        <v>0</v>
      </c>
    </row>
    <row r="40" spans="1:8" s="97" customFormat="1" ht="25.05" customHeight="1">
      <c r="A40" s="482">
        <f>A41</f>
        <v>59</v>
      </c>
      <c r="B40" s="196">
        <f>B41</f>
        <v>50</v>
      </c>
      <c r="C40" s="53" t="s">
        <v>599</v>
      </c>
      <c r="D40" s="676">
        <f t="shared" si="0"/>
        <v>60</v>
      </c>
      <c r="E40" s="676">
        <f t="shared" si="1"/>
        <v>1</v>
      </c>
      <c r="F40" s="157">
        <f>F41</f>
        <v>0</v>
      </c>
      <c r="G40" s="157">
        <f>G41</f>
        <v>0</v>
      </c>
      <c r="H40" s="542">
        <f>H41</f>
        <v>60</v>
      </c>
    </row>
    <row r="41" spans="1:8" ht="25.05" customHeight="1">
      <c r="A41" s="205">
        <f>'40-41.各項費用彙計表(7級) '!B95</f>
        <v>59</v>
      </c>
      <c r="B41" s="157">
        <f>'40-41.各項費用彙計表(7級) '!C95</f>
        <v>50</v>
      </c>
      <c r="C41" s="200" t="s">
        <v>600</v>
      </c>
      <c r="D41" s="849">
        <f t="shared" si="0"/>
        <v>60</v>
      </c>
      <c r="E41" s="849">
        <f t="shared" si="1"/>
        <v>1</v>
      </c>
      <c r="F41" s="157">
        <f>'40-41.各項費用彙計表(7級) '!G95</f>
        <v>0</v>
      </c>
      <c r="G41" s="157">
        <f>'40-41.各項費用彙計表(7級) '!H95</f>
        <v>0</v>
      </c>
      <c r="H41" s="471">
        <f>'40-41.各項費用彙計表(7級) '!I95</f>
        <v>60</v>
      </c>
    </row>
    <row r="42" spans="1:8" ht="25.05" customHeight="1">
      <c r="A42" s="205"/>
      <c r="B42" s="157"/>
      <c r="C42" s="200"/>
      <c r="D42" s="676"/>
      <c r="E42" s="676">
        <f t="shared" si="1"/>
        <v>0</v>
      </c>
      <c r="F42" s="157"/>
      <c r="G42" s="157"/>
      <c r="H42" s="471"/>
    </row>
    <row r="43" spans="1:8" ht="25.05" customHeight="1">
      <c r="A43" s="205"/>
      <c r="B43" s="157"/>
      <c r="C43" s="200"/>
      <c r="D43" s="676"/>
      <c r="E43" s="676"/>
      <c r="F43" s="157"/>
      <c r="G43" s="157"/>
      <c r="H43" s="471"/>
    </row>
    <row r="44" spans="1:8" s="97" customFormat="1" ht="35.4" customHeight="1" thickBot="1">
      <c r="A44" s="843">
        <f>SUM(A8+A18+A21+A27+A30+A36+A40+A38)+1</f>
        <v>561367</v>
      </c>
      <c r="B44" s="786">
        <f>SUM(B8+B18+B21+B27+B30+B36+B40)</f>
        <v>614292</v>
      </c>
      <c r="C44" s="785" t="s">
        <v>601</v>
      </c>
      <c r="D44" s="786">
        <f t="shared" si="0"/>
        <v>629909</v>
      </c>
      <c r="E44" s="786"/>
      <c r="F44" s="787">
        <f>SUM(F8,F18,F21,F27,F30,F36,F40)</f>
        <v>628750</v>
      </c>
      <c r="G44" s="787">
        <f>SUM(G8,G18,G21,G27,G30,G36,G40)</f>
        <v>1099</v>
      </c>
      <c r="H44" s="788">
        <f>SUM(H8,H18,H21,H27,H30,H36,H40)</f>
        <v>60</v>
      </c>
    </row>
  </sheetData>
  <mergeCells count="9">
    <mergeCell ref="A1:H1"/>
    <mergeCell ref="A2:H2"/>
    <mergeCell ref="A3:H3"/>
    <mergeCell ref="A4:H4"/>
    <mergeCell ref="B6:B7"/>
    <mergeCell ref="A6:A7"/>
    <mergeCell ref="C6:C7"/>
    <mergeCell ref="D6:H6"/>
    <mergeCell ref="A5:H5"/>
  </mergeCells>
  <phoneticPr fontId="2" type="noConversion"/>
  <printOptions horizontalCentered="1"/>
  <pageMargins left="0.6692913385826772" right="0.6692913385826772" top="0.59055118110236227" bottom="0.78740157480314965" header="0.70866141732283472" footer="0.51181102362204722"/>
  <pageSetup paperSize="9" scale="91" firstPageNumber="42" orientation="portrait" blackAndWhite="1" useFirstPageNumber="1" r:id="rId1"/>
  <headerFooter scaleWithDoc="0" alignWithMargins="0">
    <oddFooter>&amp;C&amp;"Arial Unicode MS,標準"&amp;P</oddFooter>
  </headerFooter>
</worksheet>
</file>

<file path=xl/worksheets/sheet45.xml><?xml version="1.0" encoding="utf-8"?>
<worksheet xmlns="http://schemas.openxmlformats.org/spreadsheetml/2006/main" xmlns:r="http://schemas.openxmlformats.org/officeDocument/2006/relationships">
  <sheetPr codeName="Sheet43" enableFormatConditionsCalculation="0">
    <tabColor indexed="42"/>
  </sheetPr>
  <dimension ref="A1:K104"/>
  <sheetViews>
    <sheetView view="pageBreakPreview" topLeftCell="A72" zoomScale="80" zoomScaleNormal="100" zoomScaleSheetLayoutView="80" workbookViewId="0">
      <selection activeCell="B79" sqref="B79"/>
    </sheetView>
  </sheetViews>
  <sheetFormatPr defaultColWidth="9" defaultRowHeight="16.2"/>
  <cols>
    <col min="1" max="1" width="13.33203125" style="84" customWidth="1"/>
    <col min="2" max="2" width="13.33203125" style="84" bestFit="1" customWidth="1"/>
    <col min="3" max="3" width="12.77734375" style="84" bestFit="1" customWidth="1"/>
    <col min="4" max="4" width="41.109375" style="84" customWidth="1"/>
    <col min="5" max="5" width="12.77734375" style="84" bestFit="1" customWidth="1"/>
    <col min="6" max="6" width="12.77734375" style="84" hidden="1" customWidth="1"/>
    <col min="7" max="7" width="12.77734375" style="84" bestFit="1" customWidth="1"/>
    <col min="8" max="8" width="11.109375" style="84" customWidth="1"/>
    <col min="9" max="9" width="12" style="84" customWidth="1"/>
    <col min="10" max="10" width="13.44140625" style="84" customWidth="1"/>
    <col min="11" max="11" width="10.5546875" style="84" bestFit="1" customWidth="1"/>
    <col min="12" max="16384" width="9" style="84"/>
  </cols>
  <sheetData>
    <row r="1" spans="1:11" ht="24.6">
      <c r="B1" s="1118" t="s">
        <v>145</v>
      </c>
      <c r="C1" s="1298"/>
      <c r="D1" s="1298"/>
      <c r="E1" s="1298"/>
      <c r="F1" s="1298"/>
      <c r="G1" s="1298"/>
      <c r="H1" s="1298"/>
      <c r="I1" s="1298"/>
    </row>
    <row r="2" spans="1:11" ht="22.2">
      <c r="B2" s="1119" t="s">
        <v>146</v>
      </c>
      <c r="C2" s="1299"/>
      <c r="D2" s="1299"/>
      <c r="E2" s="1299"/>
      <c r="F2" s="1299"/>
      <c r="G2" s="1299"/>
      <c r="H2" s="1299"/>
      <c r="I2" s="1299"/>
    </row>
    <row r="3" spans="1:11" ht="22.2">
      <c r="B3" s="1120" t="s">
        <v>131</v>
      </c>
      <c r="C3" s="1299"/>
      <c r="D3" s="1299"/>
      <c r="E3" s="1299"/>
      <c r="F3" s="1299"/>
      <c r="G3" s="1299"/>
      <c r="H3" s="1299"/>
      <c r="I3" s="1299"/>
    </row>
    <row r="4" spans="1:11" s="857" customFormat="1" ht="19.8">
      <c r="B4" s="1121" t="s">
        <v>1022</v>
      </c>
      <c r="C4" s="1121"/>
      <c r="D4" s="1121"/>
      <c r="E4" s="1121"/>
      <c r="F4" s="1121"/>
      <c r="G4" s="1121"/>
      <c r="H4" s="1121"/>
      <c r="I4" s="1121"/>
    </row>
    <row r="5" spans="1:11" s="33" customFormat="1" ht="16.8" thickBot="1">
      <c r="B5" s="1305" t="s">
        <v>648</v>
      </c>
      <c r="C5" s="1305"/>
      <c r="D5" s="1305"/>
      <c r="E5" s="1305"/>
      <c r="F5" s="1305"/>
      <c r="G5" s="1305"/>
      <c r="H5" s="1305"/>
      <c r="I5" s="1305"/>
    </row>
    <row r="6" spans="1:11" ht="23.25" customHeight="1">
      <c r="B6" s="1302" t="s">
        <v>61</v>
      </c>
      <c r="C6" s="1300" t="s">
        <v>700</v>
      </c>
      <c r="D6" s="1304" t="s">
        <v>58</v>
      </c>
      <c r="E6" s="1304" t="s">
        <v>837</v>
      </c>
      <c r="F6" s="1304"/>
      <c r="G6" s="1306"/>
      <c r="H6" s="1306"/>
      <c r="I6" s="1307"/>
    </row>
    <row r="7" spans="1:11" ht="46.5" customHeight="1">
      <c r="B7" s="1303"/>
      <c r="C7" s="1301"/>
      <c r="D7" s="1301"/>
      <c r="E7" s="858" t="s">
        <v>827</v>
      </c>
      <c r="F7" s="858"/>
      <c r="G7" s="858" t="s">
        <v>828</v>
      </c>
      <c r="H7" s="858" t="s">
        <v>77</v>
      </c>
      <c r="I7" s="859" t="s">
        <v>829</v>
      </c>
    </row>
    <row r="8" spans="1:11" s="860" customFormat="1" ht="22.5" customHeight="1">
      <c r="A8" s="742">
        <v>521350</v>
      </c>
      <c r="B8" s="742">
        <f>SUM(B9,B13,B17,B21,B25,B30,B33,B38,B48)-1</f>
        <v>497224</v>
      </c>
      <c r="C8" s="864">
        <f>SUM(C9,C13,C17,C21,C25,C30,C33,C38,C48)</f>
        <v>528997</v>
      </c>
      <c r="D8" s="53" t="s">
        <v>302</v>
      </c>
      <c r="E8" s="676">
        <f>G8+H8+I8</f>
        <v>545960</v>
      </c>
      <c r="F8" s="676">
        <f>E8-B8</f>
        <v>48736</v>
      </c>
      <c r="G8" s="196">
        <f>SUM(G9,G13,G17,G21,G25,G30,G33,G38,G48)</f>
        <v>544960</v>
      </c>
      <c r="H8" s="196">
        <f t="shared" ref="H8:I8" si="0">SUM(H9,H13,H17,H21,H25,H30,H33,H38,H48)</f>
        <v>1000</v>
      </c>
      <c r="I8" s="542">
        <f t="shared" si="0"/>
        <v>0</v>
      </c>
      <c r="J8" s="872">
        <f>E8-C8</f>
        <v>16963</v>
      </c>
      <c r="K8" s="872">
        <f>E8-B8</f>
        <v>48736</v>
      </c>
    </row>
    <row r="9" spans="1:11" ht="22.5" customHeight="1">
      <c r="A9" s="856">
        <v>12491</v>
      </c>
      <c r="B9" s="856">
        <f>SUM(B10:B12)+1</f>
        <v>11264</v>
      </c>
      <c r="C9" s="741">
        <f>SUM(C10:C12)</f>
        <v>12888</v>
      </c>
      <c r="D9" s="200" t="s">
        <v>142</v>
      </c>
      <c r="E9" s="676">
        <f t="shared" ref="E9:E71" si="1">G9+H9+I9</f>
        <v>12888</v>
      </c>
      <c r="F9" s="676">
        <f t="shared" ref="F9:F72" si="2">E9-B9</f>
        <v>1624</v>
      </c>
      <c r="G9" s="157">
        <f>SUM(G10:G12)</f>
        <v>12508</v>
      </c>
      <c r="H9" s="157">
        <f t="shared" ref="H9:I9" si="3">SUM(H10:H12)</f>
        <v>380</v>
      </c>
      <c r="I9" s="471">
        <f t="shared" si="3"/>
        <v>0</v>
      </c>
      <c r="J9" s="872">
        <f t="shared" ref="J9:J72" si="4">E9-C9</f>
        <v>0</v>
      </c>
      <c r="K9" s="872">
        <f t="shared" ref="K9:K72" si="5">E9-B9</f>
        <v>1624</v>
      </c>
    </row>
    <row r="10" spans="1:11" s="33" customFormat="1" ht="22.5" customHeight="1">
      <c r="A10" s="856">
        <v>12123</v>
      </c>
      <c r="B10" s="856">
        <v>10853</v>
      </c>
      <c r="C10" s="741">
        <v>12370</v>
      </c>
      <c r="D10" s="327" t="s">
        <v>143</v>
      </c>
      <c r="E10" s="676">
        <f t="shared" si="1"/>
        <v>12370</v>
      </c>
      <c r="F10" s="676">
        <f t="shared" si="2"/>
        <v>1517</v>
      </c>
      <c r="G10" s="157">
        <f>'21-22.勞務成本明細7級'!E11</f>
        <v>12000</v>
      </c>
      <c r="H10" s="157">
        <v>370</v>
      </c>
      <c r="I10" s="471">
        <v>0</v>
      </c>
      <c r="J10" s="872">
        <f t="shared" si="4"/>
        <v>0</v>
      </c>
      <c r="K10" s="872">
        <f t="shared" si="5"/>
        <v>1517</v>
      </c>
    </row>
    <row r="11" spans="1:11" s="33" customFormat="1" ht="22.5" customHeight="1">
      <c r="A11" s="856">
        <v>272</v>
      </c>
      <c r="B11" s="856">
        <v>316</v>
      </c>
      <c r="C11" s="741">
        <v>368</v>
      </c>
      <c r="D11" s="327" t="s">
        <v>144</v>
      </c>
      <c r="E11" s="676">
        <f t="shared" si="1"/>
        <v>368</v>
      </c>
      <c r="F11" s="676">
        <f t="shared" si="2"/>
        <v>52</v>
      </c>
      <c r="G11" s="157">
        <f>'21-22.勞務成本明細7級'!E12</f>
        <v>358</v>
      </c>
      <c r="H11" s="157">
        <v>10</v>
      </c>
      <c r="I11" s="471">
        <v>0</v>
      </c>
      <c r="J11" s="872">
        <f t="shared" si="4"/>
        <v>0</v>
      </c>
      <c r="K11" s="872">
        <f t="shared" si="5"/>
        <v>52</v>
      </c>
    </row>
    <row r="12" spans="1:11" ht="22.5" customHeight="1">
      <c r="A12" s="856">
        <v>96</v>
      </c>
      <c r="B12" s="856">
        <v>94</v>
      </c>
      <c r="C12" s="741">
        <v>150</v>
      </c>
      <c r="D12" s="327" t="s">
        <v>394</v>
      </c>
      <c r="E12" s="676">
        <f t="shared" si="1"/>
        <v>150</v>
      </c>
      <c r="F12" s="676">
        <f t="shared" si="2"/>
        <v>56</v>
      </c>
      <c r="G12" s="157">
        <f>'21-22.勞務成本明細7級'!E13</f>
        <v>150</v>
      </c>
      <c r="H12" s="157">
        <v>0</v>
      </c>
      <c r="I12" s="471">
        <v>0</v>
      </c>
      <c r="J12" s="872">
        <f t="shared" si="4"/>
        <v>0</v>
      </c>
      <c r="K12" s="872">
        <f t="shared" si="5"/>
        <v>56</v>
      </c>
    </row>
    <row r="13" spans="1:11" ht="22.5" customHeight="1">
      <c r="A13" s="856">
        <v>16532</v>
      </c>
      <c r="B13" s="856">
        <f>SUM(B14:B16)</f>
        <v>16057</v>
      </c>
      <c r="C13" s="741">
        <f>SUM(C14:C16)</f>
        <v>18055</v>
      </c>
      <c r="D13" s="200" t="s">
        <v>93</v>
      </c>
      <c r="E13" s="676">
        <f t="shared" si="1"/>
        <v>18380</v>
      </c>
      <c r="F13" s="676">
        <f t="shared" si="2"/>
        <v>2323</v>
      </c>
      <c r="G13" s="157">
        <f>SUM(G14:G16)</f>
        <v>18282</v>
      </c>
      <c r="H13" s="157">
        <f t="shared" ref="H13:I13" si="6">SUM(H14:H16)</f>
        <v>98</v>
      </c>
      <c r="I13" s="471">
        <f t="shared" si="6"/>
        <v>0</v>
      </c>
      <c r="J13" s="872">
        <f t="shared" si="4"/>
        <v>325</v>
      </c>
      <c r="K13" s="872">
        <f t="shared" si="5"/>
        <v>2323</v>
      </c>
    </row>
    <row r="14" spans="1:11" ht="22.5" customHeight="1">
      <c r="A14" s="856">
        <v>11797</v>
      </c>
      <c r="B14" s="856">
        <f>11045+72-1</f>
        <v>11116</v>
      </c>
      <c r="C14" s="741">
        <v>12080</v>
      </c>
      <c r="D14" s="327" t="s">
        <v>395</v>
      </c>
      <c r="E14" s="676">
        <f t="shared" si="1"/>
        <v>11661</v>
      </c>
      <c r="F14" s="676">
        <f t="shared" si="2"/>
        <v>545</v>
      </c>
      <c r="G14" s="157">
        <f>'21-22.勞務成本明細7級'!E15</f>
        <v>11563</v>
      </c>
      <c r="H14" s="157">
        <v>98</v>
      </c>
      <c r="I14" s="471">
        <v>0</v>
      </c>
      <c r="J14" s="872">
        <f t="shared" si="4"/>
        <v>-419</v>
      </c>
      <c r="K14" s="872">
        <f t="shared" si="5"/>
        <v>545</v>
      </c>
    </row>
    <row r="15" spans="1:11" ht="22.5" customHeight="1">
      <c r="A15" s="856">
        <v>1476</v>
      </c>
      <c r="B15" s="856">
        <v>1510</v>
      </c>
      <c r="C15" s="741">
        <v>2129</v>
      </c>
      <c r="D15" s="327" t="s">
        <v>396</v>
      </c>
      <c r="E15" s="676">
        <f t="shared" si="1"/>
        <v>2877</v>
      </c>
      <c r="F15" s="676">
        <f t="shared" si="2"/>
        <v>1367</v>
      </c>
      <c r="G15" s="157">
        <f>'21-22.勞務成本明細7級'!E16</f>
        <v>2877</v>
      </c>
      <c r="H15" s="157"/>
      <c r="I15" s="471">
        <v>0</v>
      </c>
      <c r="J15" s="872">
        <f t="shared" si="4"/>
        <v>748</v>
      </c>
      <c r="K15" s="872">
        <f t="shared" si="5"/>
        <v>1367</v>
      </c>
    </row>
    <row r="16" spans="1:11" ht="22.5" customHeight="1">
      <c r="A16" s="856">
        <v>3260</v>
      </c>
      <c r="B16" s="856">
        <v>3431</v>
      </c>
      <c r="C16" s="741">
        <v>3846</v>
      </c>
      <c r="D16" s="327" t="s">
        <v>397</v>
      </c>
      <c r="E16" s="676">
        <f t="shared" si="1"/>
        <v>3842</v>
      </c>
      <c r="F16" s="676">
        <f t="shared" si="2"/>
        <v>411</v>
      </c>
      <c r="G16" s="157">
        <f>'21-22.勞務成本明細7級'!E17</f>
        <v>3842</v>
      </c>
      <c r="H16" s="157"/>
      <c r="I16" s="471">
        <v>0</v>
      </c>
      <c r="J16" s="872">
        <f t="shared" si="4"/>
        <v>-4</v>
      </c>
      <c r="K16" s="872">
        <f t="shared" si="5"/>
        <v>411</v>
      </c>
    </row>
    <row r="17" spans="1:11" ht="22.5" customHeight="1">
      <c r="A17" s="856">
        <v>4202</v>
      </c>
      <c r="B17" s="856">
        <f>SUM(B18:B20)-1</f>
        <v>4306</v>
      </c>
      <c r="C17" s="741">
        <f>SUM(C18:C20)</f>
        <v>4484</v>
      </c>
      <c r="D17" s="200" t="s">
        <v>282</v>
      </c>
      <c r="E17" s="676">
        <f t="shared" si="1"/>
        <v>4518</v>
      </c>
      <c r="F17" s="676">
        <f t="shared" si="2"/>
        <v>212</v>
      </c>
      <c r="G17" s="157">
        <f>SUM(G18:G20)</f>
        <v>4518</v>
      </c>
      <c r="H17" s="157">
        <f t="shared" ref="H17:I17" si="7">SUM(H18:H20)</f>
        <v>0</v>
      </c>
      <c r="I17" s="471">
        <f t="shared" si="7"/>
        <v>0</v>
      </c>
      <c r="J17" s="872">
        <f t="shared" si="4"/>
        <v>34</v>
      </c>
      <c r="K17" s="872">
        <f t="shared" si="5"/>
        <v>212</v>
      </c>
    </row>
    <row r="18" spans="1:11" ht="22.5" customHeight="1">
      <c r="A18" s="856">
        <v>3516</v>
      </c>
      <c r="B18" s="856">
        <v>3615</v>
      </c>
      <c r="C18" s="741">
        <v>3467</v>
      </c>
      <c r="D18" s="327" t="s">
        <v>94</v>
      </c>
      <c r="E18" s="676">
        <f t="shared" si="1"/>
        <v>3467</v>
      </c>
      <c r="F18" s="676">
        <f t="shared" si="2"/>
        <v>-148</v>
      </c>
      <c r="G18" s="157">
        <f>'21-22.勞務成本明細7級'!E19</f>
        <v>3467</v>
      </c>
      <c r="H18" s="157">
        <v>0</v>
      </c>
      <c r="I18" s="471">
        <v>0</v>
      </c>
      <c r="J18" s="872">
        <f t="shared" si="4"/>
        <v>0</v>
      </c>
      <c r="K18" s="872">
        <f t="shared" si="5"/>
        <v>-148</v>
      </c>
    </row>
    <row r="19" spans="1:11" ht="22.5" customHeight="1">
      <c r="A19" s="856">
        <v>661</v>
      </c>
      <c r="B19" s="856">
        <v>667</v>
      </c>
      <c r="C19" s="741">
        <v>987</v>
      </c>
      <c r="D19" s="327" t="s">
        <v>398</v>
      </c>
      <c r="E19" s="676">
        <f t="shared" si="1"/>
        <v>780</v>
      </c>
      <c r="F19" s="676">
        <f t="shared" si="2"/>
        <v>113</v>
      </c>
      <c r="G19" s="157">
        <f>'21-22.勞務成本明細7級'!E20</f>
        <v>780</v>
      </c>
      <c r="H19" s="157">
        <v>0</v>
      </c>
      <c r="I19" s="471">
        <v>0</v>
      </c>
      <c r="J19" s="872">
        <f t="shared" si="4"/>
        <v>-207</v>
      </c>
      <c r="K19" s="872">
        <f t="shared" si="5"/>
        <v>113</v>
      </c>
    </row>
    <row r="20" spans="1:11" ht="22.5" customHeight="1">
      <c r="A20" s="856">
        <v>25</v>
      </c>
      <c r="B20" s="856">
        <v>25</v>
      </c>
      <c r="C20" s="741">
        <v>30</v>
      </c>
      <c r="D20" s="327" t="s">
        <v>399</v>
      </c>
      <c r="E20" s="676">
        <f t="shared" si="1"/>
        <v>271</v>
      </c>
      <c r="F20" s="676">
        <f t="shared" si="2"/>
        <v>246</v>
      </c>
      <c r="G20" s="157">
        <f>'21-22.勞務成本明細7級'!E21</f>
        <v>271</v>
      </c>
      <c r="H20" s="157">
        <v>0</v>
      </c>
      <c r="I20" s="471">
        <v>0</v>
      </c>
      <c r="J20" s="872">
        <f t="shared" si="4"/>
        <v>241</v>
      </c>
      <c r="K20" s="872">
        <f t="shared" si="5"/>
        <v>246</v>
      </c>
    </row>
    <row r="21" spans="1:11" s="33" customFormat="1" ht="22.5" customHeight="1">
      <c r="A21" s="856">
        <v>9292</v>
      </c>
      <c r="B21" s="856">
        <f>SUM(B22:B24)</f>
        <v>9338</v>
      </c>
      <c r="C21" s="741">
        <f>SUM(C22:C24)</f>
        <v>10311</v>
      </c>
      <c r="D21" s="200" t="s">
        <v>95</v>
      </c>
      <c r="E21" s="676">
        <f t="shared" si="1"/>
        <v>8948</v>
      </c>
      <c r="F21" s="676">
        <f t="shared" si="2"/>
        <v>-390</v>
      </c>
      <c r="G21" s="157">
        <f>SUM(G22:G24)</f>
        <v>8948</v>
      </c>
      <c r="H21" s="157">
        <f t="shared" ref="H21:I21" si="8">SUM(H22:H24)</f>
        <v>0</v>
      </c>
      <c r="I21" s="471">
        <f t="shared" si="8"/>
        <v>0</v>
      </c>
      <c r="J21" s="872">
        <f t="shared" si="4"/>
        <v>-1363</v>
      </c>
      <c r="K21" s="872">
        <f t="shared" si="5"/>
        <v>-390</v>
      </c>
    </row>
    <row r="22" spans="1:11" s="33" customFormat="1" ht="22.5" customHeight="1">
      <c r="A22" s="856">
        <v>7512</v>
      </c>
      <c r="B22" s="856">
        <f>8065+112</f>
        <v>8177</v>
      </c>
      <c r="C22" s="741">
        <v>7815</v>
      </c>
      <c r="D22" s="327" t="s">
        <v>96</v>
      </c>
      <c r="E22" s="676">
        <f t="shared" si="1"/>
        <v>7815</v>
      </c>
      <c r="F22" s="676">
        <f t="shared" si="2"/>
        <v>-362</v>
      </c>
      <c r="G22" s="157">
        <f>'21-22.勞務成本明細7級'!E23</f>
        <v>7815</v>
      </c>
      <c r="H22" s="157">
        <v>0</v>
      </c>
      <c r="I22" s="471">
        <v>0</v>
      </c>
      <c r="J22" s="872">
        <f t="shared" si="4"/>
        <v>0</v>
      </c>
      <c r="K22" s="872">
        <f t="shared" si="5"/>
        <v>-362</v>
      </c>
    </row>
    <row r="23" spans="1:11" s="33" customFormat="1" ht="22.5" customHeight="1">
      <c r="A23" s="856">
        <v>1094</v>
      </c>
      <c r="B23" s="856">
        <v>284</v>
      </c>
      <c r="C23" s="741">
        <v>1296</v>
      </c>
      <c r="D23" s="327" t="s">
        <v>649</v>
      </c>
      <c r="E23" s="676">
        <f t="shared" si="1"/>
        <v>233</v>
      </c>
      <c r="F23" s="676">
        <f t="shared" si="2"/>
        <v>-51</v>
      </c>
      <c r="G23" s="157">
        <f>'21-22.勞務成本明細7級'!E24</f>
        <v>233</v>
      </c>
      <c r="H23" s="157">
        <v>0</v>
      </c>
      <c r="I23" s="471">
        <v>0</v>
      </c>
      <c r="J23" s="872">
        <f t="shared" si="4"/>
        <v>-1063</v>
      </c>
      <c r="K23" s="872">
        <f t="shared" si="5"/>
        <v>-51</v>
      </c>
    </row>
    <row r="24" spans="1:11" s="33" customFormat="1" ht="22.5" customHeight="1">
      <c r="A24" s="856">
        <v>686</v>
      </c>
      <c r="B24" s="856">
        <v>877</v>
      </c>
      <c r="C24" s="741">
        <v>1200</v>
      </c>
      <c r="D24" s="327" t="s">
        <v>400</v>
      </c>
      <c r="E24" s="676">
        <f t="shared" si="1"/>
        <v>900</v>
      </c>
      <c r="F24" s="676">
        <f t="shared" si="2"/>
        <v>23</v>
      </c>
      <c r="G24" s="157">
        <f>'21-22.勞務成本明細7級'!E25</f>
        <v>900</v>
      </c>
      <c r="H24" s="157">
        <v>0</v>
      </c>
      <c r="I24" s="471">
        <v>0</v>
      </c>
      <c r="J24" s="872">
        <f t="shared" si="4"/>
        <v>-300</v>
      </c>
      <c r="K24" s="872">
        <f t="shared" si="5"/>
        <v>23</v>
      </c>
    </row>
    <row r="25" spans="1:11" s="33" customFormat="1" ht="22.5" customHeight="1">
      <c r="A25" s="856">
        <v>9524</v>
      </c>
      <c r="B25" s="856">
        <f>SUM(B26:B29)</f>
        <v>18068</v>
      </c>
      <c r="C25" s="741">
        <f>SUM(C26:C29)</f>
        <v>15839</v>
      </c>
      <c r="D25" s="200" t="s">
        <v>303</v>
      </c>
      <c r="E25" s="676">
        <f t="shared" si="1"/>
        <v>25841</v>
      </c>
      <c r="F25" s="676">
        <f t="shared" si="2"/>
        <v>7773</v>
      </c>
      <c r="G25" s="157">
        <f>SUM(G26:G29)</f>
        <v>25381</v>
      </c>
      <c r="H25" s="157">
        <f t="shared" ref="H25:I25" si="9">SUM(H26:H29)</f>
        <v>460</v>
      </c>
      <c r="I25" s="471">
        <f t="shared" si="9"/>
        <v>0</v>
      </c>
      <c r="J25" s="872">
        <f t="shared" si="4"/>
        <v>10002</v>
      </c>
      <c r="K25" s="872">
        <f t="shared" si="5"/>
        <v>7773</v>
      </c>
    </row>
    <row r="26" spans="1:11" s="33" customFormat="1" ht="22.5" customHeight="1">
      <c r="A26" s="856">
        <v>2537</v>
      </c>
      <c r="B26" s="856">
        <v>3223</v>
      </c>
      <c r="C26" s="741">
        <v>9848</v>
      </c>
      <c r="D26" s="327" t="s">
        <v>401</v>
      </c>
      <c r="E26" s="676">
        <f t="shared" si="1"/>
        <v>7882</v>
      </c>
      <c r="F26" s="676">
        <f t="shared" si="2"/>
        <v>4659</v>
      </c>
      <c r="G26" s="157">
        <f>'21-22.勞務成本明細7級'!E27</f>
        <v>7882</v>
      </c>
      <c r="H26" s="157">
        <v>0</v>
      </c>
      <c r="I26" s="471">
        <v>0</v>
      </c>
      <c r="J26" s="872">
        <f t="shared" si="4"/>
        <v>-1966</v>
      </c>
      <c r="K26" s="872">
        <f t="shared" si="5"/>
        <v>4659</v>
      </c>
    </row>
    <row r="27" spans="1:11" s="33" customFormat="1" ht="22.5" customHeight="1">
      <c r="A27" s="856">
        <v>6403</v>
      </c>
      <c r="B27" s="856">
        <v>13971</v>
      </c>
      <c r="C27" s="741">
        <v>5107</v>
      </c>
      <c r="D27" s="327" t="s">
        <v>402</v>
      </c>
      <c r="E27" s="676">
        <f t="shared" si="1"/>
        <v>17037</v>
      </c>
      <c r="F27" s="676">
        <f t="shared" si="2"/>
        <v>3066</v>
      </c>
      <c r="G27" s="157">
        <f>'21-22.勞務成本明細7級'!E28</f>
        <v>16777</v>
      </c>
      <c r="H27" s="157">
        <v>260</v>
      </c>
      <c r="I27" s="471">
        <v>0</v>
      </c>
      <c r="J27" s="872">
        <f t="shared" si="4"/>
        <v>11930</v>
      </c>
      <c r="K27" s="872">
        <f t="shared" si="5"/>
        <v>3066</v>
      </c>
    </row>
    <row r="28" spans="1:11" s="33" customFormat="1" ht="22.5" customHeight="1">
      <c r="A28" s="856">
        <v>162</v>
      </c>
      <c r="B28" s="856">
        <v>193</v>
      </c>
      <c r="C28" s="741">
        <v>360</v>
      </c>
      <c r="D28" s="327" t="s">
        <v>54</v>
      </c>
      <c r="E28" s="676">
        <f t="shared" si="1"/>
        <v>259</v>
      </c>
      <c r="F28" s="676">
        <f t="shared" si="2"/>
        <v>66</v>
      </c>
      <c r="G28" s="157">
        <f>'21-22.勞務成本明細7級'!E29</f>
        <v>159</v>
      </c>
      <c r="H28" s="157">
        <v>100</v>
      </c>
      <c r="I28" s="471">
        <v>0</v>
      </c>
      <c r="J28" s="872">
        <f t="shared" si="4"/>
        <v>-101</v>
      </c>
      <c r="K28" s="872">
        <f t="shared" si="5"/>
        <v>66</v>
      </c>
    </row>
    <row r="29" spans="1:11" s="33" customFormat="1" ht="22.5" customHeight="1">
      <c r="A29" s="856">
        <v>421</v>
      </c>
      <c r="B29" s="856">
        <v>681</v>
      </c>
      <c r="C29" s="741">
        <v>524</v>
      </c>
      <c r="D29" s="327" t="s">
        <v>403</v>
      </c>
      <c r="E29" s="676">
        <f t="shared" si="1"/>
        <v>663</v>
      </c>
      <c r="F29" s="676">
        <f t="shared" si="2"/>
        <v>-18</v>
      </c>
      <c r="G29" s="157">
        <f>'21-22.勞務成本明細7級'!E30</f>
        <v>563</v>
      </c>
      <c r="H29" s="157">
        <v>100</v>
      </c>
      <c r="I29" s="471">
        <v>0</v>
      </c>
      <c r="J29" s="872">
        <f t="shared" si="4"/>
        <v>139</v>
      </c>
      <c r="K29" s="872">
        <f t="shared" si="5"/>
        <v>-18</v>
      </c>
    </row>
    <row r="30" spans="1:11" s="33" customFormat="1" ht="22.5" customHeight="1">
      <c r="A30" s="856">
        <v>152</v>
      </c>
      <c r="B30" s="856">
        <f>SUM(B31:B32)</f>
        <v>122</v>
      </c>
      <c r="C30" s="766">
        <f>SUM(C31:C32)</f>
        <v>155</v>
      </c>
      <c r="D30" s="200" t="s">
        <v>100</v>
      </c>
      <c r="E30" s="676">
        <f t="shared" si="1"/>
        <v>136</v>
      </c>
      <c r="F30" s="676">
        <f t="shared" si="2"/>
        <v>14</v>
      </c>
      <c r="G30" s="157">
        <f>SUM(G31:G32)</f>
        <v>136</v>
      </c>
      <c r="H30" s="157">
        <f t="shared" ref="H30:I30" si="10">SUM(H31:H32)</f>
        <v>0</v>
      </c>
      <c r="I30" s="471">
        <f t="shared" si="10"/>
        <v>0</v>
      </c>
      <c r="J30" s="872">
        <f t="shared" si="4"/>
        <v>-19</v>
      </c>
      <c r="K30" s="872">
        <f t="shared" si="5"/>
        <v>14</v>
      </c>
    </row>
    <row r="31" spans="1:11" s="33" customFormat="1" ht="22.5" customHeight="1">
      <c r="A31" s="856">
        <v>7</v>
      </c>
      <c r="B31" s="856">
        <v>4</v>
      </c>
      <c r="C31" s="741">
        <v>11</v>
      </c>
      <c r="D31" s="327" t="s">
        <v>404</v>
      </c>
      <c r="E31" s="676">
        <f t="shared" si="1"/>
        <v>6</v>
      </c>
      <c r="F31" s="676">
        <f t="shared" si="2"/>
        <v>2</v>
      </c>
      <c r="G31" s="157">
        <f>'21-22.勞務成本明細7級'!E32</f>
        <v>6</v>
      </c>
      <c r="H31" s="157">
        <v>0</v>
      </c>
      <c r="I31" s="471">
        <v>0</v>
      </c>
      <c r="J31" s="872">
        <f t="shared" si="4"/>
        <v>-5</v>
      </c>
      <c r="K31" s="872">
        <f t="shared" si="5"/>
        <v>2</v>
      </c>
    </row>
    <row r="32" spans="1:11" s="33" customFormat="1" ht="22.5" customHeight="1">
      <c r="A32" s="856">
        <v>145</v>
      </c>
      <c r="B32" s="856">
        <v>118</v>
      </c>
      <c r="C32" s="741">
        <v>144</v>
      </c>
      <c r="D32" s="327" t="s">
        <v>55</v>
      </c>
      <c r="E32" s="676">
        <f t="shared" si="1"/>
        <v>130</v>
      </c>
      <c r="F32" s="676">
        <f t="shared" si="2"/>
        <v>12</v>
      </c>
      <c r="G32" s="157">
        <f>'21-22.勞務成本明細7級'!E33</f>
        <v>130</v>
      </c>
      <c r="H32" s="157">
        <v>0</v>
      </c>
      <c r="I32" s="471">
        <v>0</v>
      </c>
      <c r="J32" s="872">
        <f t="shared" si="4"/>
        <v>-14</v>
      </c>
      <c r="K32" s="872">
        <f t="shared" si="5"/>
        <v>12</v>
      </c>
    </row>
    <row r="33" spans="1:11" s="33" customFormat="1" ht="22.5" customHeight="1">
      <c r="A33" s="856">
        <v>106766</v>
      </c>
      <c r="B33" s="856">
        <f>SUM(B34:B37)+1</f>
        <v>94081</v>
      </c>
      <c r="C33" s="741">
        <f>SUM(C34:C37)</f>
        <v>110534</v>
      </c>
      <c r="D33" s="202" t="s">
        <v>283</v>
      </c>
      <c r="E33" s="676">
        <f t="shared" si="1"/>
        <v>108407</v>
      </c>
      <c r="F33" s="676">
        <f t="shared" si="2"/>
        <v>14326</v>
      </c>
      <c r="G33" s="157">
        <f>SUM(G34:G37)</f>
        <v>108345</v>
      </c>
      <c r="H33" s="157">
        <f t="shared" ref="H33:I33" si="11">SUM(H34:H37)</f>
        <v>62</v>
      </c>
      <c r="I33" s="471">
        <f t="shared" si="11"/>
        <v>0</v>
      </c>
      <c r="J33" s="872">
        <f t="shared" si="4"/>
        <v>-2127</v>
      </c>
      <c r="K33" s="872">
        <f t="shared" si="5"/>
        <v>14326</v>
      </c>
    </row>
    <row r="34" spans="1:11" s="33" customFormat="1" ht="22.5" customHeight="1">
      <c r="A34" s="856">
        <v>5933</v>
      </c>
      <c r="B34" s="856">
        <f>5601+48</f>
        <v>5649</v>
      </c>
      <c r="C34" s="741">
        <v>6033</v>
      </c>
      <c r="D34" s="543" t="s">
        <v>696</v>
      </c>
      <c r="E34" s="676">
        <f t="shared" si="1"/>
        <v>5714</v>
      </c>
      <c r="F34" s="676">
        <f t="shared" si="2"/>
        <v>65</v>
      </c>
      <c r="G34" s="157">
        <f>'21-22.勞務成本明細7級'!E35</f>
        <v>5652</v>
      </c>
      <c r="H34" s="157">
        <f>80-18</f>
        <v>62</v>
      </c>
      <c r="I34" s="471">
        <v>0</v>
      </c>
      <c r="J34" s="872">
        <f t="shared" si="4"/>
        <v>-319</v>
      </c>
      <c r="K34" s="872">
        <f t="shared" si="5"/>
        <v>65</v>
      </c>
    </row>
    <row r="35" spans="1:11" s="33" customFormat="1" ht="22.5" customHeight="1">
      <c r="A35" s="856">
        <v>21687</v>
      </c>
      <c r="B35" s="856">
        <v>20528</v>
      </c>
      <c r="C35" s="741">
        <v>20984</v>
      </c>
      <c r="D35" s="544" t="s">
        <v>619</v>
      </c>
      <c r="E35" s="676">
        <f t="shared" si="1"/>
        <v>20984</v>
      </c>
      <c r="F35" s="676">
        <f t="shared" si="2"/>
        <v>456</v>
      </c>
      <c r="G35" s="157">
        <f>'21-22.勞務成本明細7級'!E36</f>
        <v>20984</v>
      </c>
      <c r="H35" s="157">
        <v>0</v>
      </c>
      <c r="I35" s="471">
        <v>0</v>
      </c>
      <c r="J35" s="872">
        <f t="shared" si="4"/>
        <v>0</v>
      </c>
      <c r="K35" s="872">
        <f t="shared" si="5"/>
        <v>456</v>
      </c>
    </row>
    <row r="36" spans="1:11" s="33" customFormat="1" ht="22.5" customHeight="1">
      <c r="A36" s="856">
        <v>17065</v>
      </c>
      <c r="B36" s="856">
        <v>16562</v>
      </c>
      <c r="C36" s="741">
        <v>20724</v>
      </c>
      <c r="D36" s="544" t="s">
        <v>101</v>
      </c>
      <c r="E36" s="676">
        <f t="shared" si="1"/>
        <v>20724</v>
      </c>
      <c r="F36" s="676">
        <f t="shared" si="2"/>
        <v>4162</v>
      </c>
      <c r="G36" s="157">
        <f>'21-22.勞務成本明細7級'!E37</f>
        <v>20724</v>
      </c>
      <c r="H36" s="157">
        <v>0</v>
      </c>
      <c r="I36" s="471">
        <v>0</v>
      </c>
      <c r="J36" s="872">
        <f t="shared" si="4"/>
        <v>0</v>
      </c>
      <c r="K36" s="872">
        <f t="shared" si="5"/>
        <v>4162</v>
      </c>
    </row>
    <row r="37" spans="1:11" s="33" customFormat="1" ht="22.5" customHeight="1">
      <c r="A37" s="856">
        <v>62081</v>
      </c>
      <c r="B37" s="856">
        <v>51341</v>
      </c>
      <c r="C37" s="741">
        <v>62793</v>
      </c>
      <c r="D37" s="544" t="s">
        <v>102</v>
      </c>
      <c r="E37" s="676">
        <f t="shared" si="1"/>
        <v>60985</v>
      </c>
      <c r="F37" s="676">
        <f t="shared" si="2"/>
        <v>9644</v>
      </c>
      <c r="G37" s="157">
        <f>'21-22.勞務成本明細7級'!E38</f>
        <v>60985</v>
      </c>
      <c r="H37" s="157">
        <v>0</v>
      </c>
      <c r="I37" s="471">
        <v>0</v>
      </c>
      <c r="J37" s="872">
        <f t="shared" si="4"/>
        <v>-1808</v>
      </c>
      <c r="K37" s="872">
        <f t="shared" si="5"/>
        <v>9644</v>
      </c>
    </row>
    <row r="38" spans="1:11" s="33" customFormat="1" ht="24" customHeight="1">
      <c r="A38" s="856">
        <v>362100</v>
      </c>
      <c r="B38" s="856">
        <f>SUM(B39:B47)+1</f>
        <v>343691</v>
      </c>
      <c r="C38" s="741">
        <f>SUM(C39:C47)</f>
        <v>356431</v>
      </c>
      <c r="D38" s="200" t="s">
        <v>103</v>
      </c>
      <c r="E38" s="676">
        <f t="shared" si="1"/>
        <v>366542</v>
      </c>
      <c r="F38" s="676">
        <f t="shared" si="2"/>
        <v>22851</v>
      </c>
      <c r="G38" s="157">
        <f>SUM(G39:G47)</f>
        <v>366542</v>
      </c>
      <c r="H38" s="157">
        <f t="shared" ref="H38:I38" si="12">SUM(H39:H47)</f>
        <v>0</v>
      </c>
      <c r="I38" s="471">
        <f t="shared" si="12"/>
        <v>0</v>
      </c>
      <c r="J38" s="872">
        <f t="shared" si="4"/>
        <v>10111</v>
      </c>
      <c r="K38" s="872">
        <f t="shared" si="5"/>
        <v>22851</v>
      </c>
    </row>
    <row r="39" spans="1:11" s="33" customFormat="1" ht="23.1" customHeight="1">
      <c r="A39" s="856">
        <v>50</v>
      </c>
      <c r="B39" s="856">
        <v>291</v>
      </c>
      <c r="C39" s="741">
        <v>52</v>
      </c>
      <c r="D39" s="327" t="s">
        <v>104</v>
      </c>
      <c r="E39" s="676">
        <f t="shared" si="1"/>
        <v>292</v>
      </c>
      <c r="F39" s="676">
        <f t="shared" si="2"/>
        <v>1</v>
      </c>
      <c r="G39" s="157">
        <f>'21-22.勞務成本明細7級'!E40</f>
        <v>292</v>
      </c>
      <c r="H39" s="157">
        <v>0</v>
      </c>
      <c r="I39" s="471">
        <v>0</v>
      </c>
      <c r="J39" s="872">
        <f t="shared" si="4"/>
        <v>240</v>
      </c>
      <c r="K39" s="872">
        <f t="shared" si="5"/>
        <v>1</v>
      </c>
    </row>
    <row r="40" spans="1:11" s="33" customFormat="1" ht="23.1" customHeight="1">
      <c r="A40" s="856">
        <v>151</v>
      </c>
      <c r="B40" s="856">
        <v>0</v>
      </c>
      <c r="C40" s="741">
        <v>20</v>
      </c>
      <c r="D40" s="327" t="s">
        <v>676</v>
      </c>
      <c r="E40" s="676">
        <f t="shared" si="1"/>
        <v>0</v>
      </c>
      <c r="F40" s="676">
        <f t="shared" si="2"/>
        <v>0</v>
      </c>
      <c r="G40" s="157">
        <f>'21-22.勞務成本明細7級'!E41</f>
        <v>0</v>
      </c>
      <c r="H40" s="157">
        <v>0</v>
      </c>
      <c r="I40" s="471">
        <v>0</v>
      </c>
      <c r="J40" s="872">
        <f t="shared" si="4"/>
        <v>-20</v>
      </c>
      <c r="K40" s="872">
        <f t="shared" si="5"/>
        <v>0</v>
      </c>
    </row>
    <row r="41" spans="1:11" s="33" customFormat="1" ht="23.1" customHeight="1">
      <c r="A41" s="856">
        <v>98</v>
      </c>
      <c r="B41" s="856">
        <v>289</v>
      </c>
      <c r="C41" s="741">
        <v>0</v>
      </c>
      <c r="D41" s="327" t="s">
        <v>830</v>
      </c>
      <c r="E41" s="676">
        <f t="shared" si="1"/>
        <v>133</v>
      </c>
      <c r="F41" s="676">
        <f t="shared" si="2"/>
        <v>-156</v>
      </c>
      <c r="G41" s="157">
        <f>'21-22.勞務成本明細7級'!E42</f>
        <v>133</v>
      </c>
      <c r="H41" s="157">
        <v>0</v>
      </c>
      <c r="I41" s="471">
        <v>0</v>
      </c>
      <c r="J41" s="872">
        <f t="shared" si="4"/>
        <v>133</v>
      </c>
      <c r="K41" s="872">
        <f t="shared" si="5"/>
        <v>-156</v>
      </c>
    </row>
    <row r="42" spans="1:11" s="33" customFormat="1">
      <c r="A42" s="856">
        <v>2006</v>
      </c>
      <c r="B42" s="856">
        <v>2202</v>
      </c>
      <c r="C42" s="741">
        <v>2809</v>
      </c>
      <c r="D42" s="545" t="s">
        <v>697</v>
      </c>
      <c r="E42" s="676">
        <f t="shared" si="1"/>
        <v>3146</v>
      </c>
      <c r="F42" s="676">
        <f t="shared" si="2"/>
        <v>944</v>
      </c>
      <c r="G42" s="157">
        <f>'21-22.勞務成本明細7級'!E43</f>
        <v>3146</v>
      </c>
      <c r="H42" s="157">
        <v>0</v>
      </c>
      <c r="I42" s="471">
        <v>0</v>
      </c>
      <c r="J42" s="872">
        <f t="shared" si="4"/>
        <v>337</v>
      </c>
      <c r="K42" s="872">
        <f t="shared" si="5"/>
        <v>944</v>
      </c>
    </row>
    <row r="43" spans="1:11" s="33" customFormat="1" ht="23.1" customHeight="1">
      <c r="A43" s="856">
        <v>2743</v>
      </c>
      <c r="B43" s="856">
        <v>1770</v>
      </c>
      <c r="C43" s="741">
        <v>600</v>
      </c>
      <c r="D43" s="545" t="s">
        <v>689</v>
      </c>
      <c r="E43" s="676">
        <f t="shared" si="1"/>
        <v>2400</v>
      </c>
      <c r="F43" s="676">
        <f t="shared" si="2"/>
        <v>630</v>
      </c>
      <c r="G43" s="157">
        <f>'21-22.勞務成本明細7級'!E44</f>
        <v>2400</v>
      </c>
      <c r="H43" s="157">
        <v>0</v>
      </c>
      <c r="I43" s="471">
        <v>0</v>
      </c>
      <c r="J43" s="872">
        <f t="shared" si="4"/>
        <v>1800</v>
      </c>
      <c r="K43" s="872">
        <f t="shared" si="5"/>
        <v>630</v>
      </c>
    </row>
    <row r="44" spans="1:11" s="33" customFormat="1" ht="23.1" customHeight="1" thickBot="1">
      <c r="A44" s="868">
        <v>1169</v>
      </c>
      <c r="B44" s="868">
        <v>1109</v>
      </c>
      <c r="C44" s="865">
        <v>689</v>
      </c>
      <c r="D44" s="760" t="s">
        <v>698</v>
      </c>
      <c r="E44" s="694">
        <f t="shared" si="1"/>
        <v>673</v>
      </c>
      <c r="F44" s="676">
        <f t="shared" si="2"/>
        <v>-436</v>
      </c>
      <c r="G44" s="328">
        <f>'21-22.勞務成本明細7級'!E45</f>
        <v>673</v>
      </c>
      <c r="H44" s="328">
        <v>0</v>
      </c>
      <c r="I44" s="507">
        <v>0</v>
      </c>
      <c r="J44" s="872">
        <f t="shared" si="4"/>
        <v>-16</v>
      </c>
      <c r="K44" s="872">
        <f t="shared" si="5"/>
        <v>-436</v>
      </c>
    </row>
    <row r="45" spans="1:11" s="33" customFormat="1" ht="23.1" customHeight="1">
      <c r="A45" s="869">
        <v>343529</v>
      </c>
      <c r="B45" s="869">
        <v>321655</v>
      </c>
      <c r="C45" s="866">
        <v>332585</v>
      </c>
      <c r="D45" s="757" t="s">
        <v>105</v>
      </c>
      <c r="E45" s="758">
        <f t="shared" si="1"/>
        <v>339661</v>
      </c>
      <c r="F45" s="676">
        <f t="shared" si="2"/>
        <v>18006</v>
      </c>
      <c r="G45" s="756">
        <f>'21-22.勞務成本明細7級'!E46</f>
        <v>339661</v>
      </c>
      <c r="H45" s="756">
        <v>0</v>
      </c>
      <c r="I45" s="759">
        <v>0</v>
      </c>
      <c r="J45" s="872">
        <f t="shared" si="4"/>
        <v>7076</v>
      </c>
      <c r="K45" s="872">
        <f t="shared" si="5"/>
        <v>18006</v>
      </c>
    </row>
    <row r="46" spans="1:11" ht="23.1" customHeight="1">
      <c r="A46" s="856">
        <v>12318</v>
      </c>
      <c r="B46" s="856">
        <v>16370</v>
      </c>
      <c r="C46" s="741">
        <v>19676</v>
      </c>
      <c r="D46" s="879" t="s">
        <v>1033</v>
      </c>
      <c r="E46" s="676">
        <f t="shared" si="1"/>
        <v>20237</v>
      </c>
      <c r="F46" s="676">
        <f t="shared" si="2"/>
        <v>3867</v>
      </c>
      <c r="G46" s="157">
        <f>'21-22.勞務成本明細7級'!E47</f>
        <v>20237</v>
      </c>
      <c r="H46" s="157">
        <v>0</v>
      </c>
      <c r="I46" s="471">
        <v>0</v>
      </c>
      <c r="J46" s="872">
        <f t="shared" si="4"/>
        <v>561</v>
      </c>
      <c r="K46" s="872">
        <f t="shared" si="5"/>
        <v>3867</v>
      </c>
    </row>
    <row r="47" spans="1:11" ht="23.1" customHeight="1">
      <c r="A47" s="856">
        <v>36</v>
      </c>
      <c r="B47" s="856">
        <v>4</v>
      </c>
      <c r="C47" s="741">
        <v>0</v>
      </c>
      <c r="D47" s="327" t="s">
        <v>677</v>
      </c>
      <c r="E47" s="676">
        <f t="shared" si="1"/>
        <v>0</v>
      </c>
      <c r="F47" s="676">
        <f t="shared" si="2"/>
        <v>-4</v>
      </c>
      <c r="G47" s="157">
        <f>'21-22.勞務成本明細7級'!E48</f>
        <v>0</v>
      </c>
      <c r="H47" s="157">
        <v>0</v>
      </c>
      <c r="I47" s="471">
        <v>0</v>
      </c>
      <c r="J47" s="872">
        <f t="shared" si="4"/>
        <v>0</v>
      </c>
      <c r="K47" s="872">
        <f t="shared" si="5"/>
        <v>-4</v>
      </c>
    </row>
    <row r="48" spans="1:11" ht="23.1" customHeight="1">
      <c r="A48" s="856">
        <v>291</v>
      </c>
      <c r="B48" s="856">
        <f>B49</f>
        <v>298</v>
      </c>
      <c r="C48" s="741">
        <f>C49</f>
        <v>300</v>
      </c>
      <c r="D48" s="200" t="s">
        <v>106</v>
      </c>
      <c r="E48" s="676">
        <f t="shared" si="1"/>
        <v>300</v>
      </c>
      <c r="F48" s="676">
        <f t="shared" si="2"/>
        <v>2</v>
      </c>
      <c r="G48" s="157">
        <f>G49</f>
        <v>300</v>
      </c>
      <c r="H48" s="157">
        <f t="shared" ref="H48:I48" si="13">H49</f>
        <v>0</v>
      </c>
      <c r="I48" s="471">
        <f t="shared" si="13"/>
        <v>0</v>
      </c>
      <c r="J48" s="872">
        <f t="shared" si="4"/>
        <v>0</v>
      </c>
      <c r="K48" s="872">
        <f t="shared" si="5"/>
        <v>2</v>
      </c>
    </row>
    <row r="49" spans="1:11" ht="23.1" customHeight="1">
      <c r="A49" s="856">
        <v>291</v>
      </c>
      <c r="B49" s="856">
        <v>298</v>
      </c>
      <c r="C49" s="741">
        <v>300</v>
      </c>
      <c r="D49" s="327" t="s">
        <v>98</v>
      </c>
      <c r="E49" s="676">
        <f t="shared" si="1"/>
        <v>300</v>
      </c>
      <c r="F49" s="676">
        <f t="shared" si="2"/>
        <v>2</v>
      </c>
      <c r="G49" s="157">
        <f>'21-22.勞務成本明細7級'!E50</f>
        <v>300</v>
      </c>
      <c r="H49" s="157">
        <v>0</v>
      </c>
      <c r="I49" s="471">
        <v>0</v>
      </c>
      <c r="J49" s="872">
        <f t="shared" si="4"/>
        <v>0</v>
      </c>
      <c r="K49" s="872">
        <f t="shared" si="5"/>
        <v>2</v>
      </c>
    </row>
    <row r="50" spans="1:11" s="860" customFormat="1" ht="24.75" customHeight="1">
      <c r="A50" s="742">
        <v>22603</v>
      </c>
      <c r="B50" s="742">
        <f>SUM(B51,B54)</f>
        <v>18039</v>
      </c>
      <c r="C50" s="864">
        <f>SUM(C51,C54)</f>
        <v>27721</v>
      </c>
      <c r="D50" s="853" t="s">
        <v>97</v>
      </c>
      <c r="E50" s="676">
        <f t="shared" si="1"/>
        <v>27693</v>
      </c>
      <c r="F50" s="676">
        <f t="shared" si="2"/>
        <v>9654</v>
      </c>
      <c r="G50" s="196">
        <f>SUM(G51,G54)</f>
        <v>27594</v>
      </c>
      <c r="H50" s="196">
        <f t="shared" ref="H50:I50" si="14">SUM(H51,H54)</f>
        <v>99</v>
      </c>
      <c r="I50" s="542">
        <f t="shared" si="14"/>
        <v>0</v>
      </c>
      <c r="J50" s="872">
        <f t="shared" si="4"/>
        <v>-28</v>
      </c>
      <c r="K50" s="872">
        <f t="shared" si="5"/>
        <v>9654</v>
      </c>
    </row>
    <row r="51" spans="1:11" ht="23.1" customHeight="1">
      <c r="A51" s="856">
        <v>1166</v>
      </c>
      <c r="B51" s="856">
        <f>SUM(B52:B53)</f>
        <v>1023</v>
      </c>
      <c r="C51" s="741">
        <f>SUM(C52:C53)</f>
        <v>1069</v>
      </c>
      <c r="D51" s="202" t="s">
        <v>107</v>
      </c>
      <c r="E51" s="676">
        <f t="shared" si="1"/>
        <v>1041</v>
      </c>
      <c r="F51" s="676">
        <f t="shared" si="2"/>
        <v>18</v>
      </c>
      <c r="G51" s="157">
        <f>SUM(G52:G53)</f>
        <v>1041</v>
      </c>
      <c r="H51" s="157">
        <f t="shared" ref="H51:I51" si="15">SUM(H52:H53)</f>
        <v>0</v>
      </c>
      <c r="I51" s="471">
        <f t="shared" si="15"/>
        <v>0</v>
      </c>
      <c r="J51" s="872">
        <f t="shared" si="4"/>
        <v>-28</v>
      </c>
      <c r="K51" s="872">
        <f t="shared" si="5"/>
        <v>18</v>
      </c>
    </row>
    <row r="52" spans="1:11" ht="23.1" customHeight="1">
      <c r="A52" s="856">
        <v>235</v>
      </c>
      <c r="B52" s="856">
        <v>193</v>
      </c>
      <c r="C52" s="741">
        <v>204</v>
      </c>
      <c r="D52" s="546" t="s">
        <v>108</v>
      </c>
      <c r="E52" s="676">
        <f t="shared" si="1"/>
        <v>217</v>
      </c>
      <c r="F52" s="676">
        <f t="shared" si="2"/>
        <v>24</v>
      </c>
      <c r="G52" s="157">
        <f>'21-22.勞務成本明細7級'!E53</f>
        <v>217</v>
      </c>
      <c r="H52" s="157">
        <v>0</v>
      </c>
      <c r="I52" s="471">
        <v>0</v>
      </c>
      <c r="J52" s="872">
        <f t="shared" si="4"/>
        <v>13</v>
      </c>
      <c r="K52" s="872">
        <f t="shared" si="5"/>
        <v>24</v>
      </c>
    </row>
    <row r="53" spans="1:11" ht="23.1" customHeight="1">
      <c r="A53" s="856">
        <v>931</v>
      </c>
      <c r="B53" s="856">
        <v>830</v>
      </c>
      <c r="C53" s="741">
        <v>865</v>
      </c>
      <c r="D53" s="546" t="s">
        <v>109</v>
      </c>
      <c r="E53" s="676">
        <f t="shared" si="1"/>
        <v>824</v>
      </c>
      <c r="F53" s="676">
        <f t="shared" si="2"/>
        <v>-6</v>
      </c>
      <c r="G53" s="157">
        <f>'21-22.勞務成本明細7級'!E54</f>
        <v>824</v>
      </c>
      <c r="H53" s="157">
        <v>0</v>
      </c>
      <c r="I53" s="471">
        <v>0</v>
      </c>
      <c r="J53" s="872">
        <f t="shared" si="4"/>
        <v>-41</v>
      </c>
      <c r="K53" s="872">
        <f t="shared" si="5"/>
        <v>-6</v>
      </c>
    </row>
    <row r="54" spans="1:11" ht="23.1" customHeight="1">
      <c r="A54" s="856">
        <v>21437</v>
      </c>
      <c r="B54" s="856">
        <f>SUM(B55:B59)</f>
        <v>17016</v>
      </c>
      <c r="C54" s="741">
        <f>SUM(C55:C59)</f>
        <v>26652</v>
      </c>
      <c r="D54" s="202" t="s">
        <v>221</v>
      </c>
      <c r="E54" s="676">
        <f t="shared" si="1"/>
        <v>26652</v>
      </c>
      <c r="F54" s="676">
        <f t="shared" si="2"/>
        <v>9636</v>
      </c>
      <c r="G54" s="157">
        <f>SUM(G55:G59)</f>
        <v>26553</v>
      </c>
      <c r="H54" s="157">
        <f t="shared" ref="H54:I54" si="16">SUM(H55:H59)</f>
        <v>99</v>
      </c>
      <c r="I54" s="471">
        <f t="shared" si="16"/>
        <v>0</v>
      </c>
      <c r="J54" s="872">
        <f t="shared" si="4"/>
        <v>0</v>
      </c>
      <c r="K54" s="872">
        <f t="shared" si="5"/>
        <v>9636</v>
      </c>
    </row>
    <row r="55" spans="1:11" ht="23.1" customHeight="1">
      <c r="A55" s="856">
        <v>9634</v>
      </c>
      <c r="B55" s="856">
        <v>6399</v>
      </c>
      <c r="C55" s="741">
        <v>12026</v>
      </c>
      <c r="D55" s="546" t="s">
        <v>620</v>
      </c>
      <c r="E55" s="676">
        <f t="shared" si="1"/>
        <v>15011</v>
      </c>
      <c r="F55" s="676">
        <f t="shared" si="2"/>
        <v>8612</v>
      </c>
      <c r="G55" s="157">
        <f>'21-22.勞務成本明細7級'!E56</f>
        <v>14912</v>
      </c>
      <c r="H55" s="157">
        <v>99</v>
      </c>
      <c r="I55" s="471">
        <v>0</v>
      </c>
      <c r="J55" s="873">
        <f t="shared" si="4"/>
        <v>2985</v>
      </c>
      <c r="K55" s="872">
        <f t="shared" si="5"/>
        <v>8612</v>
      </c>
    </row>
    <row r="56" spans="1:11" ht="23.1" customHeight="1">
      <c r="A56" s="856">
        <v>749</v>
      </c>
      <c r="B56" s="856">
        <v>940</v>
      </c>
      <c r="C56" s="741">
        <v>854</v>
      </c>
      <c r="D56" s="546" t="s">
        <v>621</v>
      </c>
      <c r="E56" s="676">
        <f t="shared" si="1"/>
        <v>1293</v>
      </c>
      <c r="F56" s="676">
        <f t="shared" si="2"/>
        <v>353</v>
      </c>
      <c r="G56" s="157">
        <f>'21-22.勞務成本明細7級'!E57</f>
        <v>1293</v>
      </c>
      <c r="H56" s="157">
        <v>0</v>
      </c>
      <c r="I56" s="471">
        <v>0</v>
      </c>
      <c r="J56" s="872">
        <f t="shared" si="4"/>
        <v>439</v>
      </c>
      <c r="K56" s="872">
        <f t="shared" si="5"/>
        <v>353</v>
      </c>
    </row>
    <row r="57" spans="1:11" ht="23.1" customHeight="1">
      <c r="A57" s="856">
        <v>10583</v>
      </c>
      <c r="B57" s="856">
        <v>9059</v>
      </c>
      <c r="C57" s="741">
        <v>11301</v>
      </c>
      <c r="D57" s="327" t="s">
        <v>164</v>
      </c>
      <c r="E57" s="676">
        <f t="shared" si="1"/>
        <v>9487</v>
      </c>
      <c r="F57" s="676">
        <f t="shared" si="2"/>
        <v>428</v>
      </c>
      <c r="G57" s="157">
        <f>'21-22.勞務成本明細7級'!E58</f>
        <v>9487</v>
      </c>
      <c r="H57" s="157">
        <v>0</v>
      </c>
      <c r="I57" s="471">
        <v>0</v>
      </c>
      <c r="J57" s="872">
        <f t="shared" si="4"/>
        <v>-1814</v>
      </c>
      <c r="K57" s="872">
        <f t="shared" si="5"/>
        <v>428</v>
      </c>
    </row>
    <row r="58" spans="1:11" ht="23.1" customHeight="1">
      <c r="A58" s="856">
        <v>19</v>
      </c>
      <c r="B58" s="856">
        <v>5</v>
      </c>
      <c r="C58" s="741">
        <v>20</v>
      </c>
      <c r="D58" s="545" t="s">
        <v>699</v>
      </c>
      <c r="E58" s="676">
        <f t="shared" si="1"/>
        <v>6</v>
      </c>
      <c r="F58" s="676">
        <f t="shared" si="2"/>
        <v>1</v>
      </c>
      <c r="G58" s="157">
        <f>'21-22.勞務成本明細7級'!E59</f>
        <v>6</v>
      </c>
      <c r="H58" s="157">
        <v>0</v>
      </c>
      <c r="I58" s="471">
        <v>0</v>
      </c>
      <c r="J58" s="872">
        <f t="shared" si="4"/>
        <v>-14</v>
      </c>
      <c r="K58" s="872">
        <f t="shared" si="5"/>
        <v>1</v>
      </c>
    </row>
    <row r="59" spans="1:11" ht="23.1" customHeight="1">
      <c r="A59" s="856">
        <v>453</v>
      </c>
      <c r="B59" s="856">
        <v>613</v>
      </c>
      <c r="C59" s="741">
        <v>2451</v>
      </c>
      <c r="D59" s="327" t="s">
        <v>110</v>
      </c>
      <c r="E59" s="676">
        <f t="shared" si="1"/>
        <v>855</v>
      </c>
      <c r="F59" s="676">
        <f t="shared" si="2"/>
        <v>242</v>
      </c>
      <c r="G59" s="157">
        <f>'21-22.勞務成本明細7級'!E60</f>
        <v>855</v>
      </c>
      <c r="H59" s="157">
        <v>0</v>
      </c>
      <c r="I59" s="471">
        <v>0</v>
      </c>
      <c r="J59" s="872">
        <f t="shared" si="4"/>
        <v>-1596</v>
      </c>
      <c r="K59" s="872">
        <f t="shared" si="5"/>
        <v>242</v>
      </c>
    </row>
    <row r="60" spans="1:11" s="860" customFormat="1" ht="24.75" customHeight="1">
      <c r="A60" s="742">
        <v>17506</v>
      </c>
      <c r="B60" s="742">
        <f>SUM(B61,B63,B65,B68,B70)</f>
        <v>16025</v>
      </c>
      <c r="C60" s="864">
        <f>SUM(C61,C63,C65,C68,C70)</f>
        <v>15168</v>
      </c>
      <c r="D60" s="53" t="s">
        <v>222</v>
      </c>
      <c r="E60" s="676">
        <f t="shared" si="1"/>
        <v>16196</v>
      </c>
      <c r="F60" s="676">
        <f t="shared" si="2"/>
        <v>171</v>
      </c>
      <c r="G60" s="196">
        <f>SUM(G61,G63,G65,G68,G70)</f>
        <v>16196</v>
      </c>
      <c r="H60" s="196">
        <f t="shared" ref="H60:I60" si="17">SUM(H61,H63,H65,H68,H70)</f>
        <v>0</v>
      </c>
      <c r="I60" s="542">
        <f t="shared" si="17"/>
        <v>0</v>
      </c>
      <c r="J60" s="872">
        <f t="shared" si="4"/>
        <v>1028</v>
      </c>
      <c r="K60" s="872">
        <f t="shared" si="5"/>
        <v>171</v>
      </c>
    </row>
    <row r="61" spans="1:11" ht="23.1" hidden="1" customHeight="1">
      <c r="A61" s="856">
        <v>0</v>
      </c>
      <c r="B61" s="856">
        <f>B62</f>
        <v>0</v>
      </c>
      <c r="C61" s="766">
        <f>C62</f>
        <v>0</v>
      </c>
      <c r="D61" s="200" t="s">
        <v>48</v>
      </c>
      <c r="E61" s="676">
        <f t="shared" si="1"/>
        <v>0</v>
      </c>
      <c r="F61" s="676">
        <f t="shared" si="2"/>
        <v>0</v>
      </c>
      <c r="G61" s="157">
        <f>G62</f>
        <v>0</v>
      </c>
      <c r="H61" s="157">
        <f t="shared" ref="H61:I61" si="18">H62</f>
        <v>0</v>
      </c>
      <c r="I61" s="471">
        <f t="shared" si="18"/>
        <v>0</v>
      </c>
      <c r="J61" s="872">
        <f t="shared" si="4"/>
        <v>0</v>
      </c>
      <c r="K61" s="872">
        <f t="shared" si="5"/>
        <v>0</v>
      </c>
    </row>
    <row r="62" spans="1:11" ht="23.1" hidden="1" customHeight="1">
      <c r="A62" s="856">
        <v>0</v>
      </c>
      <c r="B62" s="856">
        <v>0</v>
      </c>
      <c r="C62" s="741">
        <v>0</v>
      </c>
      <c r="D62" s="327" t="s">
        <v>49</v>
      </c>
      <c r="E62" s="676">
        <f t="shared" si="1"/>
        <v>0</v>
      </c>
      <c r="F62" s="676">
        <f t="shared" si="2"/>
        <v>0</v>
      </c>
      <c r="G62" s="157">
        <v>0</v>
      </c>
      <c r="H62" s="157">
        <v>0</v>
      </c>
      <c r="I62" s="471">
        <v>0</v>
      </c>
      <c r="J62" s="872">
        <f t="shared" si="4"/>
        <v>0</v>
      </c>
      <c r="K62" s="872">
        <f t="shared" si="5"/>
        <v>0</v>
      </c>
    </row>
    <row r="63" spans="1:11" ht="23.1" customHeight="1">
      <c r="A63" s="856">
        <v>1852</v>
      </c>
      <c r="B63" s="856">
        <f>SUM(B64)</f>
        <v>2076</v>
      </c>
      <c r="C63" s="741">
        <f>SUM(C64)</f>
        <v>1833</v>
      </c>
      <c r="D63" s="200" t="s">
        <v>111</v>
      </c>
      <c r="E63" s="676">
        <f t="shared" si="1"/>
        <v>2095</v>
      </c>
      <c r="F63" s="676">
        <f t="shared" si="2"/>
        <v>19</v>
      </c>
      <c r="G63" s="157">
        <f>G64</f>
        <v>2095</v>
      </c>
      <c r="H63" s="157">
        <f t="shared" ref="H63:I63" si="19">H64</f>
        <v>0</v>
      </c>
      <c r="I63" s="471">
        <f t="shared" si="19"/>
        <v>0</v>
      </c>
      <c r="J63" s="872">
        <f t="shared" si="4"/>
        <v>262</v>
      </c>
      <c r="K63" s="872">
        <f t="shared" si="5"/>
        <v>19</v>
      </c>
    </row>
    <row r="64" spans="1:11" ht="23.1" customHeight="1">
      <c r="A64" s="856">
        <v>1852</v>
      </c>
      <c r="B64" s="856">
        <v>2076</v>
      </c>
      <c r="C64" s="741">
        <v>1833</v>
      </c>
      <c r="D64" s="327" t="s">
        <v>112</v>
      </c>
      <c r="E64" s="676">
        <f t="shared" si="1"/>
        <v>2095</v>
      </c>
      <c r="F64" s="676">
        <f t="shared" si="2"/>
        <v>19</v>
      </c>
      <c r="G64" s="157">
        <f>'21-22.勞務成本明細7級'!E65</f>
        <v>2095</v>
      </c>
      <c r="H64" s="157">
        <v>0</v>
      </c>
      <c r="I64" s="471">
        <v>0</v>
      </c>
      <c r="J64" s="872">
        <f t="shared" si="4"/>
        <v>262</v>
      </c>
      <c r="K64" s="872">
        <f t="shared" si="5"/>
        <v>19</v>
      </c>
    </row>
    <row r="65" spans="1:11" ht="23.1" customHeight="1">
      <c r="A65" s="856">
        <v>10773</v>
      </c>
      <c r="B65" s="856">
        <f>SUM(B66:B67)</f>
        <v>9213</v>
      </c>
      <c r="C65" s="741">
        <f>SUM(C66:C67)</f>
        <v>8492</v>
      </c>
      <c r="D65" s="200" t="s">
        <v>113</v>
      </c>
      <c r="E65" s="676">
        <f t="shared" si="1"/>
        <v>9284</v>
      </c>
      <c r="F65" s="676">
        <f t="shared" si="2"/>
        <v>71</v>
      </c>
      <c r="G65" s="157">
        <f>G66+G67</f>
        <v>9284</v>
      </c>
      <c r="H65" s="157">
        <f t="shared" ref="H65:I65" si="20">H66+H67</f>
        <v>0</v>
      </c>
      <c r="I65" s="471">
        <f t="shared" si="20"/>
        <v>0</v>
      </c>
      <c r="J65" s="872">
        <f t="shared" si="4"/>
        <v>792</v>
      </c>
      <c r="K65" s="872">
        <f t="shared" si="5"/>
        <v>71</v>
      </c>
    </row>
    <row r="66" spans="1:11" ht="23.1" customHeight="1">
      <c r="A66" s="856">
        <v>10496</v>
      </c>
      <c r="B66" s="856">
        <v>8899</v>
      </c>
      <c r="C66" s="741">
        <v>8196</v>
      </c>
      <c r="D66" s="879" t="s">
        <v>1032</v>
      </c>
      <c r="E66" s="676">
        <f t="shared" si="1"/>
        <v>9238</v>
      </c>
      <c r="F66" s="676">
        <f t="shared" si="2"/>
        <v>339</v>
      </c>
      <c r="G66" s="157">
        <f>'21-22.勞務成本明細7級'!E67</f>
        <v>9238</v>
      </c>
      <c r="H66" s="157">
        <v>0</v>
      </c>
      <c r="I66" s="471">
        <v>0</v>
      </c>
      <c r="J66" s="872">
        <f t="shared" si="4"/>
        <v>1042</v>
      </c>
      <c r="K66" s="872">
        <f t="shared" si="5"/>
        <v>339</v>
      </c>
    </row>
    <row r="67" spans="1:11" ht="23.1" customHeight="1">
      <c r="A67" s="856">
        <v>277</v>
      </c>
      <c r="B67" s="856">
        <v>314</v>
      </c>
      <c r="C67" s="741">
        <v>296</v>
      </c>
      <c r="D67" s="327" t="s">
        <v>114</v>
      </c>
      <c r="E67" s="676">
        <f t="shared" si="1"/>
        <v>46</v>
      </c>
      <c r="F67" s="676">
        <f t="shared" si="2"/>
        <v>-268</v>
      </c>
      <c r="G67" s="157">
        <f>'21-22.勞務成本明細7級'!E68</f>
        <v>46</v>
      </c>
      <c r="H67" s="157">
        <v>0</v>
      </c>
      <c r="I67" s="471">
        <v>0</v>
      </c>
      <c r="J67" s="872">
        <f t="shared" si="4"/>
        <v>-250</v>
      </c>
      <c r="K67" s="872">
        <f t="shared" si="5"/>
        <v>-268</v>
      </c>
    </row>
    <row r="68" spans="1:11" ht="21" customHeight="1">
      <c r="A68" s="856">
        <v>4782</v>
      </c>
      <c r="B68" s="856">
        <f>SUM(B69)</f>
        <v>4682</v>
      </c>
      <c r="C68" s="741">
        <f>SUM(C69)</f>
        <v>4743</v>
      </c>
      <c r="D68" s="200" t="s">
        <v>115</v>
      </c>
      <c r="E68" s="676">
        <f t="shared" si="1"/>
        <v>4763</v>
      </c>
      <c r="F68" s="676">
        <f t="shared" si="2"/>
        <v>81</v>
      </c>
      <c r="G68" s="157">
        <f>SUM(G69)</f>
        <v>4763</v>
      </c>
      <c r="H68" s="157">
        <f t="shared" ref="H68:I68" si="21">SUM(H69)</f>
        <v>0</v>
      </c>
      <c r="I68" s="471">
        <f t="shared" si="21"/>
        <v>0</v>
      </c>
      <c r="J68" s="872">
        <f t="shared" si="4"/>
        <v>20</v>
      </c>
      <c r="K68" s="872">
        <f t="shared" si="5"/>
        <v>81</v>
      </c>
    </row>
    <row r="69" spans="1:11" ht="21" customHeight="1">
      <c r="A69" s="856">
        <v>4782</v>
      </c>
      <c r="B69" s="856">
        <v>4682</v>
      </c>
      <c r="C69" s="741">
        <v>4743</v>
      </c>
      <c r="D69" s="327" t="s">
        <v>116</v>
      </c>
      <c r="E69" s="676">
        <f t="shared" si="1"/>
        <v>4763</v>
      </c>
      <c r="F69" s="676">
        <f t="shared" si="2"/>
        <v>81</v>
      </c>
      <c r="G69" s="157">
        <f>'21-22.勞務成本明細7級'!E70</f>
        <v>4763</v>
      </c>
      <c r="H69" s="157">
        <v>0</v>
      </c>
      <c r="I69" s="471">
        <v>0</v>
      </c>
      <c r="J69" s="872">
        <f t="shared" si="4"/>
        <v>20</v>
      </c>
      <c r="K69" s="872">
        <f t="shared" si="5"/>
        <v>81</v>
      </c>
    </row>
    <row r="70" spans="1:11" ht="21" customHeight="1">
      <c r="A70" s="856">
        <v>98</v>
      </c>
      <c r="B70" s="856">
        <f>B71</f>
        <v>54</v>
      </c>
      <c r="C70" s="741">
        <f>C71</f>
        <v>100</v>
      </c>
      <c r="D70" s="200" t="s">
        <v>117</v>
      </c>
      <c r="E70" s="676">
        <f t="shared" si="1"/>
        <v>54</v>
      </c>
      <c r="F70" s="676">
        <f t="shared" si="2"/>
        <v>0</v>
      </c>
      <c r="G70" s="157">
        <f>G71</f>
        <v>54</v>
      </c>
      <c r="H70" s="157">
        <f t="shared" ref="H70:I70" si="22">H71</f>
        <v>0</v>
      </c>
      <c r="I70" s="471">
        <f t="shared" si="22"/>
        <v>0</v>
      </c>
      <c r="J70" s="872">
        <f t="shared" si="4"/>
        <v>-46</v>
      </c>
      <c r="K70" s="872">
        <f t="shared" si="5"/>
        <v>0</v>
      </c>
    </row>
    <row r="71" spans="1:11" ht="21" customHeight="1">
      <c r="A71" s="856">
        <v>98</v>
      </c>
      <c r="B71" s="856">
        <v>54</v>
      </c>
      <c r="C71" s="741">
        <v>100</v>
      </c>
      <c r="D71" s="327" t="s">
        <v>118</v>
      </c>
      <c r="E71" s="676">
        <f t="shared" si="1"/>
        <v>54</v>
      </c>
      <c r="F71" s="676">
        <f t="shared" si="2"/>
        <v>0</v>
      </c>
      <c r="G71" s="157">
        <f>'21-22.勞務成本明細7級'!E72</f>
        <v>54</v>
      </c>
      <c r="H71" s="157">
        <v>0</v>
      </c>
      <c r="I71" s="471">
        <v>0</v>
      </c>
      <c r="J71" s="872">
        <f t="shared" si="4"/>
        <v>-46</v>
      </c>
      <c r="K71" s="872">
        <f t="shared" si="5"/>
        <v>0</v>
      </c>
    </row>
    <row r="72" spans="1:11" s="860" customFormat="1" ht="21" customHeight="1">
      <c r="A72" s="742">
        <f t="shared" ref="A72:C72" si="23">A73+A77</f>
        <v>30224</v>
      </c>
      <c r="B72" s="742">
        <f t="shared" si="23"/>
        <v>30019</v>
      </c>
      <c r="C72" s="864">
        <f t="shared" si="23"/>
        <v>42356</v>
      </c>
      <c r="D72" s="53" t="s">
        <v>153</v>
      </c>
      <c r="E72" s="676">
        <f>E73+E77</f>
        <v>40000</v>
      </c>
      <c r="F72" s="676">
        <f t="shared" si="2"/>
        <v>9981</v>
      </c>
      <c r="G72" s="196">
        <f t="shared" ref="G72:I72" si="24">G73+G77</f>
        <v>40000</v>
      </c>
      <c r="H72" s="196">
        <f t="shared" si="24"/>
        <v>0</v>
      </c>
      <c r="I72" s="542">
        <f t="shared" si="24"/>
        <v>0</v>
      </c>
      <c r="J72" s="872">
        <f t="shared" si="4"/>
        <v>-2356</v>
      </c>
      <c r="K72" s="872">
        <f t="shared" si="5"/>
        <v>9981</v>
      </c>
    </row>
    <row r="73" spans="1:11" ht="21" customHeight="1">
      <c r="A73" s="856">
        <f>SUM(A74:A76)</f>
        <v>15568</v>
      </c>
      <c r="B73" s="856">
        <f>SUM(B74:B76)</f>
        <v>16810</v>
      </c>
      <c r="C73" s="741">
        <f>SUM(C74:C76)</f>
        <v>21109</v>
      </c>
      <c r="D73" s="879" t="s">
        <v>1031</v>
      </c>
      <c r="E73" s="676">
        <f>SUM(E74:E76)</f>
        <v>19994</v>
      </c>
      <c r="F73" s="676">
        <f t="shared" ref="F73:F97" si="25">E73-B73</f>
        <v>3184</v>
      </c>
      <c r="G73" s="157">
        <f>SUM(G74:G76)</f>
        <v>19994</v>
      </c>
      <c r="H73" s="157">
        <f>SUM(H74:H76)</f>
        <v>0</v>
      </c>
      <c r="I73" s="471">
        <f>SUM(I74:I76)</f>
        <v>0</v>
      </c>
      <c r="J73" s="872">
        <f t="shared" ref="J73:J74" si="26">E73-C73</f>
        <v>-1115</v>
      </c>
      <c r="K73" s="872">
        <f t="shared" ref="K73:K97" si="27">E73-B73</f>
        <v>3184</v>
      </c>
    </row>
    <row r="74" spans="1:11" ht="21" customHeight="1">
      <c r="A74" s="856">
        <v>13635</v>
      </c>
      <c r="B74" s="856">
        <v>14807</v>
      </c>
      <c r="C74" s="741">
        <v>17641</v>
      </c>
      <c r="D74" s="327" t="s">
        <v>99</v>
      </c>
      <c r="E74" s="676">
        <f t="shared" ref="E74:E97" si="28">G74+H74+I74</f>
        <v>18055</v>
      </c>
      <c r="F74" s="676">
        <f t="shared" si="25"/>
        <v>3248</v>
      </c>
      <c r="G74" s="157">
        <f>'21-22.勞務成本明細7級'!E75</f>
        <v>18055</v>
      </c>
      <c r="H74" s="157">
        <v>0</v>
      </c>
      <c r="I74" s="471">
        <v>0</v>
      </c>
      <c r="J74" s="872">
        <f t="shared" si="26"/>
        <v>414</v>
      </c>
      <c r="K74" s="872">
        <f t="shared" si="27"/>
        <v>3248</v>
      </c>
    </row>
    <row r="75" spans="1:11" ht="21" customHeight="1">
      <c r="A75" s="856">
        <v>986</v>
      </c>
      <c r="B75" s="856">
        <v>901</v>
      </c>
      <c r="C75" s="741">
        <v>1099</v>
      </c>
      <c r="D75" s="327" t="s">
        <v>78</v>
      </c>
      <c r="E75" s="676">
        <f t="shared" si="28"/>
        <v>595</v>
      </c>
      <c r="F75" s="676">
        <f t="shared" si="25"/>
        <v>-306</v>
      </c>
      <c r="G75" s="157">
        <f>'21-22.勞務成本明細7級'!E76</f>
        <v>595</v>
      </c>
      <c r="H75" s="157"/>
      <c r="I75" s="471"/>
      <c r="J75" s="872">
        <f>E75-C75</f>
        <v>-504</v>
      </c>
      <c r="K75" s="872">
        <f t="shared" si="27"/>
        <v>-306</v>
      </c>
    </row>
    <row r="76" spans="1:11" ht="21" customHeight="1">
      <c r="A76" s="856">
        <v>947</v>
      </c>
      <c r="B76" s="856">
        <v>1102</v>
      </c>
      <c r="C76" s="741">
        <v>2369</v>
      </c>
      <c r="D76" s="327" t="s">
        <v>79</v>
      </c>
      <c r="E76" s="676">
        <f t="shared" si="28"/>
        <v>1344</v>
      </c>
      <c r="F76" s="676">
        <f t="shared" si="25"/>
        <v>242</v>
      </c>
      <c r="G76" s="157">
        <f>'21-22.勞務成本明細7級'!E77</f>
        <v>1344</v>
      </c>
      <c r="H76" s="157"/>
      <c r="I76" s="471"/>
      <c r="J76" s="872">
        <f t="shared" ref="J76:J97" si="29">E76-C76</f>
        <v>-1025</v>
      </c>
      <c r="K76" s="872">
        <f t="shared" si="27"/>
        <v>242</v>
      </c>
    </row>
    <row r="77" spans="1:11" ht="21" customHeight="1">
      <c r="A77" s="856">
        <v>14656</v>
      </c>
      <c r="B77" s="856">
        <f>SUM(B78:B79)-1</f>
        <v>13209</v>
      </c>
      <c r="C77" s="741">
        <f>SUM(C78)</f>
        <v>21247</v>
      </c>
      <c r="D77" s="200" t="s">
        <v>119</v>
      </c>
      <c r="E77" s="676">
        <f t="shared" si="28"/>
        <v>20006</v>
      </c>
      <c r="F77" s="676">
        <f t="shared" si="25"/>
        <v>6797</v>
      </c>
      <c r="G77" s="157">
        <f>SUM(G78:G79)</f>
        <v>20006</v>
      </c>
      <c r="H77" s="157">
        <f t="shared" ref="H77:I77" si="30">SUM(H78)</f>
        <v>0</v>
      </c>
      <c r="I77" s="471">
        <f t="shared" si="30"/>
        <v>0</v>
      </c>
      <c r="J77" s="872">
        <f t="shared" si="29"/>
        <v>-1241</v>
      </c>
      <c r="K77" s="872">
        <f t="shared" si="27"/>
        <v>6797</v>
      </c>
    </row>
    <row r="78" spans="1:11" ht="21" customHeight="1">
      <c r="A78" s="856">
        <v>14656</v>
      </c>
      <c r="B78" s="856">
        <v>13208</v>
      </c>
      <c r="C78" s="741">
        <v>21247</v>
      </c>
      <c r="D78" s="327" t="s">
        <v>120</v>
      </c>
      <c r="E78" s="676">
        <f t="shared" si="28"/>
        <v>20000</v>
      </c>
      <c r="F78" s="676">
        <f t="shared" si="25"/>
        <v>6792</v>
      </c>
      <c r="G78" s="157">
        <f>'21-22.勞務成本明細7級'!E79</f>
        <v>20000</v>
      </c>
      <c r="H78" s="157">
        <v>0</v>
      </c>
      <c r="I78" s="471"/>
      <c r="J78" s="872">
        <f t="shared" si="29"/>
        <v>-1247</v>
      </c>
      <c r="K78" s="872">
        <f t="shared" si="27"/>
        <v>6792</v>
      </c>
    </row>
    <row r="79" spans="1:11" ht="21" customHeight="1">
      <c r="A79" s="856"/>
      <c r="B79" s="856">
        <v>2</v>
      </c>
      <c r="C79" s="741">
        <v>0</v>
      </c>
      <c r="D79" s="327" t="s">
        <v>1023</v>
      </c>
      <c r="E79" s="676">
        <f t="shared" si="28"/>
        <v>6</v>
      </c>
      <c r="F79" s="676"/>
      <c r="G79" s="157">
        <f>'21-22.勞務成本明細7級'!E80</f>
        <v>6</v>
      </c>
      <c r="H79" s="157"/>
      <c r="I79" s="471"/>
      <c r="J79" s="872">
        <f t="shared" si="29"/>
        <v>6</v>
      </c>
      <c r="K79" s="872">
        <f t="shared" si="27"/>
        <v>4</v>
      </c>
    </row>
    <row r="80" spans="1:11" s="860" customFormat="1" ht="21" hidden="1" customHeight="1">
      <c r="A80" s="742"/>
      <c r="B80" s="742">
        <f>B81+B83+B86</f>
        <v>0</v>
      </c>
      <c r="C80" s="864">
        <f>C81+C83+C86</f>
        <v>0</v>
      </c>
      <c r="D80" s="53" t="s">
        <v>708</v>
      </c>
      <c r="E80" s="676">
        <f>E81+E83+E86</f>
        <v>0</v>
      </c>
      <c r="F80" s="676">
        <f t="shared" si="25"/>
        <v>0</v>
      </c>
      <c r="G80" s="196">
        <f>G83+G81+G86</f>
        <v>0</v>
      </c>
      <c r="H80" s="196">
        <f t="shared" ref="H80" si="31">H83+H81+H85</f>
        <v>0</v>
      </c>
      <c r="I80" s="542">
        <f>I83+I81+I86</f>
        <v>0</v>
      </c>
      <c r="J80" s="872">
        <f t="shared" si="29"/>
        <v>0</v>
      </c>
      <c r="K80" s="872">
        <f t="shared" si="27"/>
        <v>0</v>
      </c>
    </row>
    <row r="81" spans="1:11" s="860" customFormat="1" ht="21" hidden="1" customHeight="1" thickBot="1">
      <c r="A81" s="878"/>
      <c r="B81" s="868">
        <f>B82</f>
        <v>0</v>
      </c>
      <c r="C81" s="865">
        <f>C82</f>
        <v>0</v>
      </c>
      <c r="D81" s="761" t="s">
        <v>121</v>
      </c>
      <c r="E81" s="694">
        <f>E82</f>
        <v>0</v>
      </c>
      <c r="F81" s="694">
        <f t="shared" si="25"/>
        <v>0</v>
      </c>
      <c r="G81" s="328">
        <f>G82</f>
        <v>0</v>
      </c>
      <c r="H81" s="328">
        <f t="shared" ref="H81:I81" si="32">H82</f>
        <v>0</v>
      </c>
      <c r="I81" s="507">
        <f t="shared" si="32"/>
        <v>0</v>
      </c>
      <c r="J81" s="872">
        <f t="shared" si="29"/>
        <v>0</v>
      </c>
      <c r="K81" s="872">
        <f t="shared" si="27"/>
        <v>0</v>
      </c>
    </row>
    <row r="82" spans="1:11" s="860" customFormat="1" ht="21" hidden="1" customHeight="1">
      <c r="A82" s="856"/>
      <c r="B82" s="856">
        <v>0</v>
      </c>
      <c r="C82" s="741">
        <v>0</v>
      </c>
      <c r="D82" s="261" t="s">
        <v>122</v>
      </c>
      <c r="E82" s="676">
        <f t="shared" si="28"/>
        <v>0</v>
      </c>
      <c r="F82" s="676">
        <f t="shared" si="25"/>
        <v>0</v>
      </c>
      <c r="G82" s="157">
        <f>0</f>
        <v>0</v>
      </c>
      <c r="H82" s="157"/>
      <c r="I82" s="471">
        <f>0</f>
        <v>0</v>
      </c>
      <c r="J82" s="872">
        <f t="shared" si="29"/>
        <v>0</v>
      </c>
      <c r="K82" s="872">
        <f t="shared" si="27"/>
        <v>0</v>
      </c>
    </row>
    <row r="83" spans="1:11" ht="21" hidden="1" customHeight="1">
      <c r="A83" s="856"/>
      <c r="B83" s="856">
        <f>B84+B85</f>
        <v>0</v>
      </c>
      <c r="C83" s="741">
        <f>C84+C85</f>
        <v>0</v>
      </c>
      <c r="D83" s="200" t="s">
        <v>50</v>
      </c>
      <c r="E83" s="676">
        <f>E84+E85</f>
        <v>0</v>
      </c>
      <c r="F83" s="676">
        <f t="shared" si="25"/>
        <v>0</v>
      </c>
      <c r="G83" s="157">
        <f>G84+G85</f>
        <v>0</v>
      </c>
      <c r="H83" s="157">
        <f t="shared" ref="H83" si="33">H84</f>
        <v>0</v>
      </c>
      <c r="I83" s="471">
        <f>I84+I85</f>
        <v>0</v>
      </c>
      <c r="J83" s="872">
        <f t="shared" si="29"/>
        <v>0</v>
      </c>
      <c r="K83" s="872">
        <f t="shared" si="27"/>
        <v>0</v>
      </c>
    </row>
    <row r="84" spans="1:11" ht="21" hidden="1" customHeight="1">
      <c r="A84" s="856"/>
      <c r="B84" s="856">
        <v>0</v>
      </c>
      <c r="C84" s="741">
        <v>0</v>
      </c>
      <c r="D84" s="261" t="s">
        <v>831</v>
      </c>
      <c r="E84" s="676">
        <f t="shared" si="28"/>
        <v>0</v>
      </c>
      <c r="F84" s="676">
        <f t="shared" si="25"/>
        <v>0</v>
      </c>
      <c r="G84" s="157">
        <f>'21-22.勞務成本明細7級'!E85</f>
        <v>0</v>
      </c>
      <c r="H84" s="157">
        <v>0</v>
      </c>
      <c r="I84" s="471">
        <v>0</v>
      </c>
      <c r="J84" s="872">
        <f t="shared" si="29"/>
        <v>0</v>
      </c>
      <c r="K84" s="872">
        <f t="shared" si="27"/>
        <v>0</v>
      </c>
    </row>
    <row r="85" spans="1:11" ht="21" hidden="1" customHeight="1">
      <c r="A85" s="856"/>
      <c r="B85" s="856">
        <v>0</v>
      </c>
      <c r="C85" s="741">
        <v>0</v>
      </c>
      <c r="D85" s="261" t="s">
        <v>678</v>
      </c>
      <c r="E85" s="676">
        <f t="shared" si="28"/>
        <v>0</v>
      </c>
      <c r="F85" s="676">
        <f t="shared" si="25"/>
        <v>0</v>
      </c>
      <c r="G85" s="157">
        <f>'21-22.勞務成本明細7級'!E86</f>
        <v>0</v>
      </c>
      <c r="H85" s="157">
        <v>0</v>
      </c>
      <c r="I85" s="471">
        <v>0</v>
      </c>
      <c r="J85" s="872">
        <f t="shared" si="29"/>
        <v>0</v>
      </c>
      <c r="K85" s="872">
        <f t="shared" si="27"/>
        <v>0</v>
      </c>
    </row>
    <row r="86" spans="1:11" ht="21" hidden="1" customHeight="1">
      <c r="A86" s="856">
        <v>12</v>
      </c>
      <c r="B86" s="856">
        <f>B87</f>
        <v>0</v>
      </c>
      <c r="C86" s="741">
        <f>C87</f>
        <v>0</v>
      </c>
      <c r="D86" s="200" t="s">
        <v>838</v>
      </c>
      <c r="E86" s="676">
        <f>E87</f>
        <v>0</v>
      </c>
      <c r="F86" s="676">
        <f t="shared" si="25"/>
        <v>0</v>
      </c>
      <c r="G86" s="157">
        <f>G87</f>
        <v>0</v>
      </c>
      <c r="H86" s="157">
        <v>0</v>
      </c>
      <c r="I86" s="471">
        <v>0</v>
      </c>
      <c r="J86" s="872">
        <f t="shared" si="29"/>
        <v>0</v>
      </c>
      <c r="K86" s="872">
        <f t="shared" si="27"/>
        <v>0</v>
      </c>
    </row>
    <row r="87" spans="1:11" ht="21" hidden="1" customHeight="1">
      <c r="A87" s="856">
        <v>12</v>
      </c>
      <c r="B87" s="856">
        <v>0</v>
      </c>
      <c r="C87" s="741">
        <v>0</v>
      </c>
      <c r="D87" s="261" t="s">
        <v>832</v>
      </c>
      <c r="E87" s="861">
        <f>G87+H87+I87</f>
        <v>0</v>
      </c>
      <c r="F87" s="676">
        <f t="shared" si="25"/>
        <v>0</v>
      </c>
      <c r="G87" s="157">
        <f>'21-22.勞務成本明細7級'!E88</f>
        <v>0</v>
      </c>
      <c r="H87" s="157">
        <v>0</v>
      </c>
      <c r="I87" s="471">
        <f>0</f>
        <v>0</v>
      </c>
      <c r="J87" s="872">
        <f t="shared" si="29"/>
        <v>0</v>
      </c>
      <c r="K87" s="872">
        <f t="shared" si="27"/>
        <v>0</v>
      </c>
    </row>
    <row r="88" spans="1:11" s="860" customFormat="1" ht="42.75" hidden="1" customHeight="1">
      <c r="A88" s="742">
        <v>1185</v>
      </c>
      <c r="B88" s="742">
        <f>B89</f>
        <v>0</v>
      </c>
      <c r="C88" s="864">
        <f>C89</f>
        <v>0</v>
      </c>
      <c r="D88" s="476" t="s">
        <v>709</v>
      </c>
      <c r="E88" s="676">
        <f t="shared" si="28"/>
        <v>0</v>
      </c>
      <c r="F88" s="676">
        <f t="shared" si="25"/>
        <v>0</v>
      </c>
      <c r="G88" s="157">
        <f>G89</f>
        <v>0</v>
      </c>
      <c r="H88" s="157">
        <f t="shared" ref="H88:I88" si="34">H89</f>
        <v>0</v>
      </c>
      <c r="I88" s="471">
        <f t="shared" si="34"/>
        <v>0</v>
      </c>
      <c r="J88" s="872">
        <f t="shared" si="29"/>
        <v>0</v>
      </c>
      <c r="K88" s="872">
        <f t="shared" si="27"/>
        <v>0</v>
      </c>
    </row>
    <row r="89" spans="1:11" ht="21" hidden="1" customHeight="1">
      <c r="A89" s="856">
        <v>1185</v>
      </c>
      <c r="B89" s="856">
        <f>B90</f>
        <v>0</v>
      </c>
      <c r="C89" s="741">
        <f>C90</f>
        <v>0</v>
      </c>
      <c r="D89" s="200" t="s">
        <v>711</v>
      </c>
      <c r="E89" s="676">
        <f t="shared" si="28"/>
        <v>0</v>
      </c>
      <c r="F89" s="676">
        <f t="shared" si="25"/>
        <v>0</v>
      </c>
      <c r="G89" s="157">
        <f>G90</f>
        <v>0</v>
      </c>
      <c r="H89" s="157">
        <f>H90</f>
        <v>0</v>
      </c>
      <c r="I89" s="471">
        <f>I90</f>
        <v>0</v>
      </c>
      <c r="J89" s="872">
        <f t="shared" si="29"/>
        <v>0</v>
      </c>
      <c r="K89" s="872">
        <f t="shared" si="27"/>
        <v>0</v>
      </c>
    </row>
    <row r="90" spans="1:11" ht="21" hidden="1" customHeight="1">
      <c r="A90" s="856">
        <v>1185</v>
      </c>
      <c r="B90" s="856">
        <v>0</v>
      </c>
      <c r="C90" s="741">
        <v>0</v>
      </c>
      <c r="D90" s="261" t="s">
        <v>973</v>
      </c>
      <c r="E90" s="676">
        <f t="shared" si="28"/>
        <v>0</v>
      </c>
      <c r="F90" s="676">
        <f t="shared" si="25"/>
        <v>0</v>
      </c>
      <c r="G90" s="157">
        <f>'21-22.勞務成本明細7級'!E91</f>
        <v>0</v>
      </c>
      <c r="H90" s="157">
        <v>0</v>
      </c>
      <c r="I90" s="471"/>
      <c r="J90" s="872">
        <f t="shared" si="29"/>
        <v>0</v>
      </c>
      <c r="K90" s="872">
        <f t="shared" si="27"/>
        <v>0</v>
      </c>
    </row>
    <row r="91" spans="1:11" ht="21" hidden="1" customHeight="1">
      <c r="A91" s="742">
        <v>0</v>
      </c>
      <c r="B91" s="742">
        <f>B92</f>
        <v>0</v>
      </c>
      <c r="C91" s="864">
        <f>C92</f>
        <v>0</v>
      </c>
      <c r="D91" s="53" t="s">
        <v>680</v>
      </c>
      <c r="E91" s="676">
        <f t="shared" si="28"/>
        <v>0</v>
      </c>
      <c r="F91" s="676">
        <f t="shared" si="25"/>
        <v>0</v>
      </c>
      <c r="G91" s="157">
        <f t="shared" ref="G91:I92" si="35">G92</f>
        <v>0</v>
      </c>
      <c r="H91" s="157">
        <f t="shared" si="35"/>
        <v>0</v>
      </c>
      <c r="I91" s="471">
        <f t="shared" si="35"/>
        <v>0</v>
      </c>
      <c r="J91" s="872">
        <f t="shared" si="29"/>
        <v>0</v>
      </c>
      <c r="K91" s="872">
        <f t="shared" si="27"/>
        <v>0</v>
      </c>
    </row>
    <row r="92" spans="1:11" ht="21" hidden="1" customHeight="1">
      <c r="A92" s="856">
        <v>0</v>
      </c>
      <c r="B92" s="856">
        <f>B93</f>
        <v>0</v>
      </c>
      <c r="C92" s="741">
        <f>C93</f>
        <v>0</v>
      </c>
      <c r="D92" s="200" t="s">
        <v>682</v>
      </c>
      <c r="E92" s="676">
        <f t="shared" si="28"/>
        <v>0</v>
      </c>
      <c r="F92" s="676">
        <f t="shared" si="25"/>
        <v>0</v>
      </c>
      <c r="G92" s="157">
        <f t="shared" si="35"/>
        <v>0</v>
      </c>
      <c r="H92" s="157"/>
      <c r="I92" s="471">
        <f t="shared" si="35"/>
        <v>0</v>
      </c>
      <c r="J92" s="872">
        <f t="shared" si="29"/>
        <v>0</v>
      </c>
      <c r="K92" s="872">
        <f t="shared" si="27"/>
        <v>0</v>
      </c>
    </row>
    <row r="93" spans="1:11" ht="21" hidden="1" customHeight="1">
      <c r="A93" s="856">
        <v>0</v>
      </c>
      <c r="B93" s="856">
        <v>0</v>
      </c>
      <c r="C93" s="741">
        <v>0</v>
      </c>
      <c r="D93" s="261" t="s">
        <v>679</v>
      </c>
      <c r="E93" s="676">
        <f t="shared" si="28"/>
        <v>0</v>
      </c>
      <c r="F93" s="676">
        <f t="shared" si="25"/>
        <v>0</v>
      </c>
      <c r="G93" s="157">
        <v>0</v>
      </c>
      <c r="H93" s="157">
        <v>0</v>
      </c>
      <c r="I93" s="471">
        <v>0</v>
      </c>
      <c r="J93" s="872">
        <f t="shared" si="29"/>
        <v>0</v>
      </c>
      <c r="K93" s="872">
        <f t="shared" si="27"/>
        <v>0</v>
      </c>
    </row>
    <row r="94" spans="1:11" s="860" customFormat="1" ht="21" customHeight="1">
      <c r="A94" s="742">
        <v>12</v>
      </c>
      <c r="B94" s="742">
        <f>B95</f>
        <v>59</v>
      </c>
      <c r="C94" s="864">
        <f>C95</f>
        <v>50</v>
      </c>
      <c r="D94" s="53" t="s">
        <v>51</v>
      </c>
      <c r="E94" s="676">
        <f t="shared" si="28"/>
        <v>60</v>
      </c>
      <c r="F94" s="676">
        <f t="shared" si="25"/>
        <v>1</v>
      </c>
      <c r="G94" s="157">
        <f>G95</f>
        <v>0</v>
      </c>
      <c r="H94" s="157">
        <f t="shared" ref="H94:I94" si="36">H95</f>
        <v>0</v>
      </c>
      <c r="I94" s="471">
        <f t="shared" si="36"/>
        <v>60</v>
      </c>
      <c r="J94" s="872">
        <f t="shared" si="29"/>
        <v>10</v>
      </c>
      <c r="K94" s="872">
        <f t="shared" si="27"/>
        <v>1</v>
      </c>
    </row>
    <row r="95" spans="1:11" ht="21" customHeight="1">
      <c r="A95" s="856">
        <v>12</v>
      </c>
      <c r="B95" s="856">
        <f>B96</f>
        <v>59</v>
      </c>
      <c r="C95" s="741">
        <f>C96</f>
        <v>50</v>
      </c>
      <c r="D95" s="200" t="s">
        <v>52</v>
      </c>
      <c r="E95" s="676">
        <f t="shared" si="28"/>
        <v>60</v>
      </c>
      <c r="F95" s="676">
        <f t="shared" si="25"/>
        <v>1</v>
      </c>
      <c r="G95" s="157">
        <f>G96</f>
        <v>0</v>
      </c>
      <c r="H95" s="157">
        <f>H96</f>
        <v>0</v>
      </c>
      <c r="I95" s="471">
        <f>I96</f>
        <v>60</v>
      </c>
      <c r="J95" s="872">
        <f t="shared" si="29"/>
        <v>10</v>
      </c>
      <c r="K95" s="872">
        <f t="shared" si="27"/>
        <v>1</v>
      </c>
    </row>
    <row r="96" spans="1:11" ht="21" customHeight="1">
      <c r="A96" s="856">
        <v>12</v>
      </c>
      <c r="B96" s="856">
        <v>59</v>
      </c>
      <c r="C96" s="741">
        <v>50</v>
      </c>
      <c r="D96" s="261" t="s">
        <v>53</v>
      </c>
      <c r="E96" s="676">
        <f t="shared" si="28"/>
        <v>60</v>
      </c>
      <c r="F96" s="676">
        <f t="shared" si="25"/>
        <v>1</v>
      </c>
      <c r="G96" s="157">
        <v>0</v>
      </c>
      <c r="H96" s="157">
        <v>0</v>
      </c>
      <c r="I96" s="471">
        <v>60</v>
      </c>
      <c r="J96" s="872">
        <f t="shared" si="29"/>
        <v>10</v>
      </c>
      <c r="K96" s="872">
        <f t="shared" si="27"/>
        <v>1</v>
      </c>
    </row>
    <row r="97" spans="1:11" s="860" customFormat="1" ht="21" customHeight="1" thickBot="1">
      <c r="A97" s="870">
        <v>592891</v>
      </c>
      <c r="B97" s="870">
        <f>SUM(B8+B50+B60+B72+B80+B88+B91+B94)+1</f>
        <v>561367</v>
      </c>
      <c r="C97" s="867">
        <f>SUM(C8+C50+C60+C72+C80+C88+C91+C94)</f>
        <v>614292</v>
      </c>
      <c r="D97" s="862" t="s">
        <v>405</v>
      </c>
      <c r="E97" s="694">
        <f t="shared" si="28"/>
        <v>629909</v>
      </c>
      <c r="F97" s="676">
        <f t="shared" si="25"/>
        <v>68542</v>
      </c>
      <c r="G97" s="694">
        <f>SUM(G8,G50,G60,G72,G80,G88,G91,G94)</f>
        <v>628750</v>
      </c>
      <c r="H97" s="694">
        <f>SUM(H8,H50,H60,H72,H80,H88,H91,H94)</f>
        <v>1099</v>
      </c>
      <c r="I97" s="823">
        <f>SUM(I8,I50,I60,I72,I80,I88,I91,I94)</f>
        <v>60</v>
      </c>
      <c r="J97" s="872">
        <f t="shared" si="29"/>
        <v>15617</v>
      </c>
      <c r="K97" s="872">
        <f t="shared" si="27"/>
        <v>68542</v>
      </c>
    </row>
    <row r="98" spans="1:11">
      <c r="B98" s="42"/>
      <c r="C98" s="42"/>
      <c r="D98" s="863"/>
      <c r="E98" s="863"/>
      <c r="F98" s="863"/>
      <c r="G98" s="863"/>
      <c r="H98" s="863"/>
      <c r="I98" s="42"/>
    </row>
    <row r="99" spans="1:11">
      <c r="B99" s="42"/>
      <c r="C99" s="42"/>
      <c r="D99" s="863"/>
      <c r="E99" s="863"/>
      <c r="F99" s="863"/>
      <c r="G99" s="863"/>
      <c r="H99" s="863"/>
      <c r="I99" s="42"/>
    </row>
    <row r="100" spans="1:11">
      <c r="B100" s="42"/>
      <c r="C100" s="42"/>
      <c r="D100" s="863"/>
      <c r="E100" s="863"/>
      <c r="F100" s="863"/>
      <c r="G100" s="863"/>
      <c r="H100" s="863"/>
      <c r="I100" s="42"/>
    </row>
    <row r="101" spans="1:11">
      <c r="B101" s="42"/>
      <c r="C101" s="42"/>
      <c r="D101" s="863"/>
      <c r="E101" s="863"/>
      <c r="F101" s="863"/>
      <c r="G101" s="863"/>
      <c r="H101" s="863"/>
      <c r="I101" s="42"/>
    </row>
    <row r="102" spans="1:11">
      <c r="B102" s="42"/>
      <c r="C102" s="42"/>
      <c r="D102" s="863"/>
      <c r="E102" s="863"/>
      <c r="F102" s="863"/>
      <c r="G102" s="863"/>
      <c r="H102" s="863"/>
      <c r="I102" s="42"/>
    </row>
    <row r="103" spans="1:11">
      <c r="B103" s="42"/>
      <c r="C103" s="42"/>
      <c r="D103" s="863"/>
      <c r="E103" s="863"/>
      <c r="F103" s="863"/>
      <c r="G103" s="863"/>
      <c r="H103" s="863"/>
      <c r="I103" s="42"/>
    </row>
    <row r="104" spans="1:11">
      <c r="B104" s="42"/>
      <c r="C104" s="42"/>
      <c r="D104" s="863"/>
      <c r="E104" s="863"/>
      <c r="F104" s="863"/>
      <c r="G104" s="863"/>
      <c r="H104" s="863"/>
      <c r="I104" s="42"/>
    </row>
  </sheetData>
  <autoFilter ref="A7:K97"/>
  <mergeCells count="9">
    <mergeCell ref="B1:I1"/>
    <mergeCell ref="B2:I2"/>
    <mergeCell ref="B3:I3"/>
    <mergeCell ref="B4:I4"/>
    <mergeCell ref="C6:C7"/>
    <mergeCell ref="B6:B7"/>
    <mergeCell ref="D6:D7"/>
    <mergeCell ref="B5:I5"/>
    <mergeCell ref="E6:I6"/>
  </mergeCells>
  <phoneticPr fontId="2" type="noConversion"/>
  <printOptions horizontalCentered="1"/>
  <pageMargins left="0.6692913385826772" right="0.6692913385826772" top="0.59055118110236227" bottom="0.78740157480314965" header="0.70866141732283472" footer="0.51181102362204722"/>
  <pageSetup paperSize="9" scale="76" firstPageNumber="40" orientation="portrait" blackAndWhite="1" useFirstPageNumber="1" r:id="rId1"/>
  <headerFooter alignWithMargins="0">
    <oddFooter>&amp;C&amp;"Arial Unicode MS,標準"&amp;P</oddFooter>
  </headerFooter>
  <legacyDrawing r:id="rId2"/>
</worksheet>
</file>

<file path=xl/worksheets/sheet46.xml><?xml version="1.0" encoding="utf-8"?>
<worksheet xmlns="http://schemas.openxmlformats.org/spreadsheetml/2006/main" xmlns:r="http://schemas.openxmlformats.org/officeDocument/2006/relationships">
  <sheetPr codeName="Sheet44" enableFormatConditionsCalculation="0">
    <tabColor indexed="42"/>
  </sheetPr>
  <dimension ref="A16:I16"/>
  <sheetViews>
    <sheetView zoomScale="50" workbookViewId="0">
      <selection activeCell="J26" sqref="J26"/>
    </sheetView>
  </sheetViews>
  <sheetFormatPr defaultColWidth="9" defaultRowHeight="16.2"/>
  <cols>
    <col min="1" max="8" width="9" style="1"/>
    <col min="9" max="9" width="14.109375" style="1" customWidth="1"/>
    <col min="10" max="16384" width="9" style="1"/>
  </cols>
  <sheetData>
    <row r="16" spans="1:9" ht="49.8">
      <c r="A16" s="1000" t="s">
        <v>718</v>
      </c>
      <c r="B16" s="1000"/>
      <c r="C16" s="1000"/>
      <c r="D16" s="1000"/>
      <c r="E16" s="1000"/>
      <c r="F16" s="1000"/>
      <c r="G16" s="1000"/>
      <c r="H16" s="1000"/>
      <c r="I16" s="1000"/>
    </row>
  </sheetData>
  <mergeCells count="1">
    <mergeCell ref="A16:I16"/>
  </mergeCells>
  <phoneticPr fontId="14" type="noConversion"/>
  <pageMargins left="0.75" right="0.75" top="1" bottom="1" header="0.5" footer="0.5"/>
  <pageSetup paperSize="9" firstPageNumber="43" orientation="portrait" useFirstPageNumber="1" r:id="rId1"/>
  <headerFooter alignWithMargins="0">
    <oddFooter>&amp;C&amp;"Arial Unicode MS,標準"&amp;P</oddFooter>
  </headerFooter>
</worksheet>
</file>

<file path=xl/worksheets/sheet47.xml><?xml version="1.0" encoding="utf-8"?>
<worksheet xmlns="http://schemas.openxmlformats.org/spreadsheetml/2006/main" xmlns:r="http://schemas.openxmlformats.org/officeDocument/2006/relationships">
  <sheetPr codeName="Sheet45"/>
  <dimension ref="A16:I16"/>
  <sheetViews>
    <sheetView zoomScale="50" workbookViewId="0">
      <selection activeCell="W41" sqref="V41:W41"/>
    </sheetView>
  </sheetViews>
  <sheetFormatPr defaultColWidth="9" defaultRowHeight="16.2"/>
  <cols>
    <col min="1" max="8" width="9" style="1"/>
    <col min="9" max="9" width="14.109375" style="1" customWidth="1"/>
    <col min="10" max="16384" width="9" style="1"/>
  </cols>
  <sheetData>
    <row r="16" spans="1:9" ht="49.8">
      <c r="A16" s="1000" t="s">
        <v>378</v>
      </c>
      <c r="B16" s="1000"/>
      <c r="C16" s="1000"/>
      <c r="D16" s="1000"/>
      <c r="E16" s="1000"/>
      <c r="F16" s="1000"/>
      <c r="G16" s="1000"/>
      <c r="H16" s="1000"/>
      <c r="I16" s="1000"/>
    </row>
  </sheetData>
  <mergeCells count="1">
    <mergeCell ref="A16:I16"/>
  </mergeCells>
  <phoneticPr fontId="14" type="noConversion"/>
  <pageMargins left="0.75" right="0.75" top="1" bottom="1" header="0.5" footer="0.5"/>
  <pageSetup paperSize="9" firstPageNumber="30" orientation="portrait" r:id="rId1"/>
  <headerFooter alignWithMargins="0"/>
</worksheet>
</file>

<file path=xl/worksheets/sheet48.xml><?xml version="1.0" encoding="utf-8"?>
<worksheet xmlns="http://schemas.openxmlformats.org/spreadsheetml/2006/main" xmlns:r="http://schemas.openxmlformats.org/officeDocument/2006/relationships">
  <dimension ref="A16:I16"/>
  <sheetViews>
    <sheetView zoomScale="50" workbookViewId="0">
      <selection activeCell="W36" sqref="W36"/>
    </sheetView>
  </sheetViews>
  <sheetFormatPr defaultColWidth="9" defaultRowHeight="16.2"/>
  <cols>
    <col min="1" max="8" width="9" style="1"/>
    <col min="9" max="9" width="14.109375" style="1" customWidth="1"/>
    <col min="10" max="16384" width="9" style="1"/>
  </cols>
  <sheetData>
    <row r="16" spans="1:9" ht="49.8">
      <c r="A16" s="1000" t="s">
        <v>702</v>
      </c>
      <c r="B16" s="1000"/>
      <c r="C16" s="1000"/>
      <c r="D16" s="1000"/>
      <c r="E16" s="1000"/>
      <c r="F16" s="1000"/>
      <c r="G16" s="1000"/>
      <c r="H16" s="1000"/>
      <c r="I16" s="1000"/>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44" orientation="portrait" useFirstPageNumber="1" r:id="rId1"/>
  <headerFooter alignWithMargins="0">
    <oddFooter>&amp;C&amp;"Arial,標準"&amp;P</oddFooter>
  </headerFooter>
</worksheet>
</file>

<file path=xl/worksheets/sheet49.xml><?xml version="1.0" encoding="utf-8"?>
<worksheet xmlns="http://schemas.openxmlformats.org/spreadsheetml/2006/main" xmlns:r="http://schemas.openxmlformats.org/officeDocument/2006/relationships">
  <sheetPr codeName="Sheet46"/>
  <dimension ref="A1:H20"/>
  <sheetViews>
    <sheetView workbookViewId="0">
      <selection activeCell="D14" sqref="D14"/>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49" customFormat="1" ht="24.6">
      <c r="A1" s="986" t="s">
        <v>223</v>
      </c>
      <c r="B1" s="986"/>
      <c r="C1" s="986"/>
      <c r="D1" s="986"/>
      <c r="E1" s="986"/>
      <c r="F1" s="986"/>
      <c r="G1" s="986"/>
      <c r="H1" s="986"/>
    </row>
    <row r="2" spans="1:8" s="167" customFormat="1" ht="22.2">
      <c r="A2" s="1314" t="s">
        <v>76</v>
      </c>
      <c r="B2" s="1314"/>
      <c r="C2" s="1314"/>
      <c r="D2" s="1314"/>
      <c r="E2" s="1314"/>
      <c r="F2" s="1314"/>
      <c r="G2" s="1314"/>
      <c r="H2" s="1314"/>
    </row>
    <row r="3" spans="1:8" s="167" customFormat="1" ht="22.2">
      <c r="A3" s="982" t="s">
        <v>602</v>
      </c>
      <c r="B3" s="1183"/>
      <c r="C3" s="1183"/>
      <c r="D3" s="1183"/>
      <c r="E3" s="1183"/>
      <c r="F3" s="1183"/>
      <c r="G3" s="1183"/>
      <c r="H3" s="1183"/>
    </row>
    <row r="4" spans="1:8" s="168" customFormat="1" ht="19.8">
      <c r="A4" s="983" t="s">
        <v>804</v>
      </c>
      <c r="B4" s="983"/>
      <c r="C4" s="983"/>
      <c r="D4" s="983"/>
      <c r="E4" s="983"/>
      <c r="F4" s="983"/>
      <c r="G4" s="983"/>
      <c r="H4" s="983"/>
    </row>
    <row r="5" spans="1:8" ht="16.8" thickBot="1">
      <c r="A5" s="1313" t="s">
        <v>603</v>
      </c>
      <c r="B5" s="1313"/>
      <c r="C5" s="1313"/>
      <c r="D5" s="1313"/>
      <c r="E5" s="1313"/>
      <c r="F5" s="1313"/>
      <c r="G5" s="1313"/>
      <c r="H5" s="1313"/>
    </row>
    <row r="6" spans="1:8" ht="16.5" customHeight="1">
      <c r="A6" s="1179" t="s">
        <v>198</v>
      </c>
      <c r="B6" s="1274" t="s">
        <v>199</v>
      </c>
      <c r="C6" s="1274" t="s">
        <v>220</v>
      </c>
      <c r="D6" s="1274" t="s">
        <v>200</v>
      </c>
      <c r="E6" s="1308" t="s">
        <v>201</v>
      </c>
      <c r="F6" s="1309"/>
      <c r="G6" s="1310"/>
      <c r="H6" s="1311" t="s">
        <v>168</v>
      </c>
    </row>
    <row r="7" spans="1:8" ht="33" customHeight="1">
      <c r="A7" s="1180"/>
      <c r="B7" s="1275"/>
      <c r="C7" s="1275"/>
      <c r="D7" s="1275"/>
      <c r="E7" s="181" t="s">
        <v>604</v>
      </c>
      <c r="F7" s="150" t="s">
        <v>202</v>
      </c>
      <c r="G7" s="150" t="s">
        <v>438</v>
      </c>
      <c r="H7" s="1312"/>
    </row>
    <row r="8" spans="1:8" ht="50.1" customHeight="1">
      <c r="A8" s="547"/>
      <c r="B8" s="500"/>
      <c r="C8" s="500"/>
      <c r="D8" s="485"/>
      <c r="E8" s="485"/>
      <c r="F8" s="485"/>
      <c r="G8" s="485"/>
      <c r="H8" s="548"/>
    </row>
    <row r="9" spans="1:8" ht="50.1" customHeight="1">
      <c r="A9" s="300"/>
      <c r="B9" s="262"/>
      <c r="C9" s="500"/>
      <c r="D9" s="485"/>
      <c r="E9" s="485"/>
      <c r="F9" s="485"/>
      <c r="G9" s="485"/>
      <c r="H9" s="436"/>
    </row>
    <row r="10" spans="1:8" ht="50.1" customHeight="1">
      <c r="A10" s="300"/>
      <c r="B10" s="262"/>
      <c r="C10" s="500"/>
      <c r="D10" s="485"/>
      <c r="E10" s="485"/>
      <c r="F10" s="485"/>
      <c r="G10" s="485"/>
      <c r="H10" s="436"/>
    </row>
    <row r="11" spans="1:8" ht="50.1" customHeight="1">
      <c r="A11" s="300"/>
      <c r="B11" s="262"/>
      <c r="C11" s="500"/>
      <c r="D11" s="485"/>
      <c r="E11" s="485"/>
      <c r="F11" s="485"/>
      <c r="G11" s="485"/>
      <c r="H11" s="436"/>
    </row>
    <row r="12" spans="1:8" ht="50.1" customHeight="1">
      <c r="A12" s="300"/>
      <c r="B12" s="262"/>
      <c r="C12" s="500"/>
      <c r="D12" s="485"/>
      <c r="E12" s="485"/>
      <c r="F12" s="485"/>
      <c r="G12" s="485"/>
      <c r="H12" s="436"/>
    </row>
    <row r="13" spans="1:8" ht="50.25" customHeight="1">
      <c r="A13" s="300"/>
      <c r="B13" s="262"/>
      <c r="C13" s="263"/>
      <c r="D13" s="485"/>
      <c r="E13" s="485"/>
      <c r="F13" s="485"/>
      <c r="G13" s="485"/>
      <c r="H13" s="126"/>
    </row>
    <row r="14" spans="1:8" ht="50.25" customHeight="1">
      <c r="A14" s="300"/>
      <c r="B14" s="262"/>
      <c r="C14" s="263"/>
      <c r="D14" s="264"/>
      <c r="E14" s="264"/>
      <c r="F14" s="264"/>
      <c r="G14" s="264"/>
      <c r="H14" s="126"/>
    </row>
    <row r="15" spans="1:8" ht="50.25" customHeight="1">
      <c r="A15" s="300"/>
      <c r="B15" s="262"/>
      <c r="C15" s="263"/>
      <c r="D15" s="264"/>
      <c r="E15" s="264"/>
      <c r="F15" s="264"/>
      <c r="G15" s="264"/>
      <c r="H15" s="126"/>
    </row>
    <row r="16" spans="1:8" ht="50.25" customHeight="1">
      <c r="A16" s="300"/>
      <c r="B16" s="262"/>
      <c r="C16" s="263"/>
      <c r="D16" s="264"/>
      <c r="E16" s="264"/>
      <c r="F16" s="264"/>
      <c r="G16" s="264"/>
      <c r="H16" s="126"/>
    </row>
    <row r="17" spans="1:8" ht="50.25" customHeight="1">
      <c r="A17" s="300"/>
      <c r="B17" s="262"/>
      <c r="C17" s="263"/>
      <c r="D17" s="264"/>
      <c r="E17" s="264"/>
      <c r="F17" s="264"/>
      <c r="G17" s="264"/>
      <c r="H17" s="126"/>
    </row>
    <row r="18" spans="1:8" ht="50.25" customHeight="1">
      <c r="A18" s="300"/>
      <c r="B18" s="262"/>
      <c r="C18" s="263"/>
      <c r="D18" s="264"/>
      <c r="E18" s="264"/>
      <c r="F18" s="264"/>
      <c r="G18" s="264"/>
      <c r="H18" s="126"/>
    </row>
    <row r="19" spans="1:8" ht="69" customHeight="1">
      <c r="A19" s="300"/>
      <c r="B19" s="262"/>
      <c r="C19" s="263"/>
      <c r="D19" s="264"/>
      <c r="E19" s="264"/>
      <c r="F19" s="264"/>
      <c r="G19" s="264"/>
      <c r="H19" s="126"/>
    </row>
    <row r="20" spans="1:8" s="394" customFormat="1" ht="50.25" customHeight="1" thickBot="1">
      <c r="A20" s="437" t="s">
        <v>149</v>
      </c>
      <c r="B20" s="438"/>
      <c r="C20" s="438"/>
      <c r="D20" s="439">
        <f>SUM(D8:D19)</f>
        <v>0</v>
      </c>
      <c r="E20" s="439">
        <f>SUM(E8:E19)</f>
        <v>0</v>
      </c>
      <c r="F20" s="439">
        <f>SUM(F8:F19)</f>
        <v>0</v>
      </c>
      <c r="G20" s="439">
        <f>SUM(G8:G19)</f>
        <v>0</v>
      </c>
      <c r="H20" s="440"/>
    </row>
  </sheetData>
  <mergeCells count="11">
    <mergeCell ref="A6:A7"/>
    <mergeCell ref="E6:G6"/>
    <mergeCell ref="H6:H7"/>
    <mergeCell ref="A1:H1"/>
    <mergeCell ref="A5:H5"/>
    <mergeCell ref="A3:H3"/>
    <mergeCell ref="A4:H4"/>
    <mergeCell ref="B6:B7"/>
    <mergeCell ref="C6:C7"/>
    <mergeCell ref="D6:D7"/>
    <mergeCell ref="A2:H2"/>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9" orientation="portrait" useFirstPageNumber="1" r:id="rId1"/>
  <headerFooter alignWithMargins="0">
    <oddFooter>&amp;C&amp;"Arial Unicode MS,標準"&amp;P</oddFooter>
  </headerFooter>
</worksheet>
</file>

<file path=xl/worksheets/sheet5.xml><?xml version="1.0" encoding="utf-8"?>
<worksheet xmlns="http://schemas.openxmlformats.org/spreadsheetml/2006/main" xmlns:r="http://schemas.openxmlformats.org/officeDocument/2006/relationships">
  <sheetPr codeName="Sheet6">
    <tabColor rgb="FFFFFFCC"/>
  </sheetPr>
  <dimension ref="A1:H47"/>
  <sheetViews>
    <sheetView topLeftCell="A13" zoomScaleNormal="100" workbookViewId="0">
      <selection activeCell="I33" sqref="I33"/>
    </sheetView>
  </sheetViews>
  <sheetFormatPr defaultColWidth="11.6640625" defaultRowHeight="16.2"/>
  <cols>
    <col min="1" max="1" width="21.77734375" style="1" customWidth="1"/>
    <col min="2" max="6" width="11.6640625" style="1" customWidth="1"/>
    <col min="7" max="16384" width="11.6640625" style="1"/>
  </cols>
  <sheetData>
    <row r="1" spans="1:8" ht="24.6">
      <c r="A1" s="986" t="s">
        <v>145</v>
      </c>
      <c r="B1" s="986"/>
      <c r="C1" s="986"/>
      <c r="D1" s="986"/>
      <c r="E1" s="986"/>
      <c r="F1" s="986"/>
      <c r="G1" s="445"/>
      <c r="H1" s="445"/>
    </row>
    <row r="2" spans="1:8" ht="22.2">
      <c r="A2" s="987" t="s">
        <v>146</v>
      </c>
      <c r="B2" s="987"/>
      <c r="C2" s="987"/>
      <c r="D2" s="987"/>
      <c r="E2" s="987"/>
      <c r="F2" s="987"/>
      <c r="G2" s="443"/>
      <c r="H2" s="443"/>
    </row>
    <row r="3" spans="1:8" ht="22.2">
      <c r="A3" s="988" t="s">
        <v>253</v>
      </c>
      <c r="B3" s="988"/>
      <c r="C3" s="988"/>
      <c r="D3" s="988"/>
      <c r="E3" s="988"/>
      <c r="F3" s="988"/>
      <c r="G3" s="444"/>
      <c r="H3" s="444"/>
    </row>
    <row r="4" spans="1:8" ht="19.5" customHeight="1">
      <c r="A4" s="989" t="s">
        <v>1022</v>
      </c>
      <c r="B4" s="989"/>
      <c r="C4" s="989"/>
      <c r="D4" s="989"/>
      <c r="E4" s="989"/>
      <c r="F4" s="989"/>
      <c r="G4" s="5"/>
      <c r="H4" s="5"/>
    </row>
    <row r="5" spans="1:8" ht="19.5" customHeight="1">
      <c r="A5" s="5"/>
      <c r="B5" s="5"/>
      <c r="C5" s="5"/>
      <c r="D5" s="5"/>
      <c r="E5" s="5"/>
      <c r="F5" s="5"/>
      <c r="G5" s="5"/>
      <c r="H5" s="5"/>
    </row>
    <row r="6" spans="1:8" ht="22.2">
      <c r="A6" s="988" t="s">
        <v>720</v>
      </c>
      <c r="B6" s="988"/>
      <c r="C6" s="988"/>
      <c r="D6" s="988"/>
      <c r="E6" s="988"/>
      <c r="F6" s="988"/>
    </row>
    <row r="32" ht="15.6" customHeight="1"/>
    <row r="33" spans="1:6">
      <c r="A33" s="998" t="s">
        <v>653</v>
      </c>
      <c r="B33" s="998"/>
      <c r="C33" s="998"/>
      <c r="D33" s="998"/>
      <c r="E33" s="998"/>
      <c r="F33" s="998"/>
    </row>
    <row r="34" spans="1:6" ht="1.5" customHeight="1"/>
    <row r="35" spans="1:6" s="605" customFormat="1" ht="35.25" customHeight="1">
      <c r="A35" s="789" t="s">
        <v>655</v>
      </c>
      <c r="B35" s="790" t="s">
        <v>1115</v>
      </c>
      <c r="C35" s="790" t="s">
        <v>1116</v>
      </c>
      <c r="D35" s="790" t="s">
        <v>1117</v>
      </c>
      <c r="E35" s="790" t="s">
        <v>1118</v>
      </c>
      <c r="F35" s="790" t="s">
        <v>1109</v>
      </c>
    </row>
    <row r="36" spans="1:6" s="648" customFormat="1" ht="19.05" customHeight="1">
      <c r="A36" s="791" t="s">
        <v>436</v>
      </c>
      <c r="B36" s="538"/>
      <c r="C36" s="538"/>
      <c r="D36" s="538"/>
      <c r="E36" s="538"/>
      <c r="F36" s="538"/>
    </row>
    <row r="37" spans="1:6" s="648" customFormat="1" ht="19.05" customHeight="1">
      <c r="A37" s="538" t="s">
        <v>632</v>
      </c>
      <c r="B37" s="792">
        <v>646309</v>
      </c>
      <c r="C37" s="792">
        <v>636178</v>
      </c>
      <c r="D37" s="792">
        <v>608153</v>
      </c>
      <c r="E37" s="792">
        <v>620324</v>
      </c>
      <c r="F37" s="792">
        <v>639908</v>
      </c>
    </row>
    <row r="38" spans="1:6" s="648" customFormat="1" ht="19.05" customHeight="1">
      <c r="A38" s="538" t="s">
        <v>633</v>
      </c>
      <c r="B38" s="792">
        <v>9715</v>
      </c>
      <c r="C38" s="792">
        <v>6139</v>
      </c>
      <c r="D38" s="792">
        <v>3190</v>
      </c>
      <c r="E38" s="792">
        <v>3800</v>
      </c>
      <c r="F38" s="792">
        <v>3700</v>
      </c>
    </row>
    <row r="39" spans="1:6" s="648" customFormat="1" ht="19.05" customHeight="1">
      <c r="A39" s="793" t="s">
        <v>437</v>
      </c>
      <c r="B39" s="794">
        <f>SUM(B37:B38)</f>
        <v>656024</v>
      </c>
      <c r="C39" s="794">
        <f>SUM(C37:C38)</f>
        <v>642317</v>
      </c>
      <c r="D39" s="794">
        <f>SUM(D37:D38)</f>
        <v>611343</v>
      </c>
      <c r="E39" s="794">
        <f>SUM(E37:E38)</f>
        <v>624124</v>
      </c>
      <c r="F39" s="794">
        <f>SUM(F37:F38)</f>
        <v>643608</v>
      </c>
    </row>
    <row r="40" spans="1:6" s="648" customFormat="1" ht="19.05" customHeight="1">
      <c r="A40" s="791" t="s">
        <v>630</v>
      </c>
      <c r="B40" s="538"/>
      <c r="C40" s="538"/>
      <c r="D40" s="538"/>
      <c r="E40" s="538"/>
      <c r="F40" s="538"/>
    </row>
    <row r="41" spans="1:6" s="648" customFormat="1" ht="19.05" customHeight="1">
      <c r="A41" s="538" t="s">
        <v>634</v>
      </c>
      <c r="B41" s="792">
        <v>649181</v>
      </c>
      <c r="C41" s="792">
        <v>592879</v>
      </c>
      <c r="D41" s="792">
        <v>561307</v>
      </c>
      <c r="E41" s="792">
        <v>614242</v>
      </c>
      <c r="F41" s="792">
        <v>629849</v>
      </c>
    </row>
    <row r="42" spans="1:6" s="648" customFormat="1" ht="19.05" customHeight="1">
      <c r="A42" s="538" t="s">
        <v>635</v>
      </c>
      <c r="B42" s="792">
        <v>21</v>
      </c>
      <c r="C42" s="792">
        <v>12</v>
      </c>
      <c r="D42" s="792">
        <v>59</v>
      </c>
      <c r="E42" s="792">
        <v>50</v>
      </c>
      <c r="F42" s="792">
        <v>60</v>
      </c>
    </row>
    <row r="43" spans="1:6" s="648" customFormat="1" ht="19.05" customHeight="1">
      <c r="A43" s="793" t="s">
        <v>631</v>
      </c>
      <c r="B43" s="794">
        <f>SUM(B41:B42)</f>
        <v>649202</v>
      </c>
      <c r="C43" s="794">
        <f>SUM(C41:C42)</f>
        <v>592891</v>
      </c>
      <c r="D43" s="794">
        <f>SUM(D41:D42)</f>
        <v>561366</v>
      </c>
      <c r="E43" s="794">
        <f>SUM(E41:E42)</f>
        <v>614292</v>
      </c>
      <c r="F43" s="794">
        <f>SUM(F41:F42)</f>
        <v>629909</v>
      </c>
    </row>
    <row r="44" spans="1:6" s="648" customFormat="1" ht="19.05" customHeight="1">
      <c r="A44" s="793" t="s">
        <v>636</v>
      </c>
      <c r="B44" s="794">
        <f>B39-B43</f>
        <v>6822</v>
      </c>
      <c r="C44" s="794">
        <f>C39-C43+1</f>
        <v>49427</v>
      </c>
      <c r="D44" s="794">
        <f>D39-D43-1</f>
        <v>49976</v>
      </c>
      <c r="E44" s="794">
        <f>E39-E43</f>
        <v>9832</v>
      </c>
      <c r="F44" s="794">
        <f>F39-F43</f>
        <v>13699</v>
      </c>
    </row>
    <row r="45" spans="1:6" s="648" customFormat="1" ht="18.899999999999999" customHeight="1">
      <c r="A45" s="795" t="s">
        <v>1114</v>
      </c>
      <c r="B45" s="605"/>
      <c r="C45" s="605"/>
      <c r="D45" s="796"/>
      <c r="E45" s="797"/>
      <c r="F45" s="797"/>
    </row>
    <row r="46" spans="1:6">
      <c r="B46" s="450">
        <f>B39/1000</f>
        <v>656.024</v>
      </c>
      <c r="C46" s="450">
        <f>C39/1000</f>
        <v>642.31700000000001</v>
      </c>
      <c r="D46" s="450">
        <f>D39/1000</f>
        <v>611.34299999999996</v>
      </c>
      <c r="E46" s="450">
        <f>E39/1000</f>
        <v>624.12400000000002</v>
      </c>
      <c r="F46" s="450">
        <f>F39/1000</f>
        <v>643.60799999999995</v>
      </c>
    </row>
    <row r="47" spans="1:6">
      <c r="B47" s="450">
        <f>B43/1000</f>
        <v>649.202</v>
      </c>
      <c r="C47" s="450">
        <f>C43/1000</f>
        <v>592.89099999999996</v>
      </c>
      <c r="D47" s="450">
        <f>D43/1000</f>
        <v>561.36599999999999</v>
      </c>
      <c r="E47" s="450">
        <f>E43/1000</f>
        <v>614.29200000000003</v>
      </c>
      <c r="F47" s="450">
        <f>F43/1000</f>
        <v>629.90899999999999</v>
      </c>
    </row>
  </sheetData>
  <mergeCells count="6">
    <mergeCell ref="A33:F33"/>
    <mergeCell ref="A2:F2"/>
    <mergeCell ref="A1:F1"/>
    <mergeCell ref="A6:F6"/>
    <mergeCell ref="A4:F4"/>
    <mergeCell ref="A3:F3"/>
  </mergeCells>
  <phoneticPr fontId="3" type="noConversion"/>
  <printOptions horizontalCentered="1"/>
  <pageMargins left="0.98425196850393704" right="0.98425196850393704" top="0.59055118110236227" bottom="0.78740157480314965" header="0.51181102362204722" footer="0.51181102362204722"/>
  <pageSetup paperSize="9" scale="97" firstPageNumber="12" orientation="portrait" blackAndWhite="1" useFirstPageNumber="1" r:id="rId1"/>
  <headerFooter scaleWithDoc="0" alignWithMargins="0">
    <oddFooter>&amp;C&amp;"Arial,標準"&amp;P</oddFooter>
  </headerFooter>
  <drawing r:id="rId2"/>
</worksheet>
</file>

<file path=xl/worksheets/sheet50.xml><?xml version="1.0" encoding="utf-8"?>
<worksheet xmlns="http://schemas.openxmlformats.org/spreadsheetml/2006/main" xmlns:r="http://schemas.openxmlformats.org/officeDocument/2006/relationships">
  <sheetPr codeName="Sheet47"/>
  <dimension ref="A1:H20"/>
  <sheetViews>
    <sheetView workbookViewId="0">
      <selection activeCell="J13" sqref="J13"/>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49" customFormat="1" ht="24.6">
      <c r="A1" s="986" t="s">
        <v>223</v>
      </c>
      <c r="B1" s="986"/>
      <c r="C1" s="986"/>
      <c r="D1" s="986"/>
      <c r="E1" s="986"/>
      <c r="F1" s="986"/>
      <c r="G1" s="986"/>
      <c r="H1" s="986"/>
    </row>
    <row r="2" spans="1:8" s="167" customFormat="1" ht="22.2">
      <c r="A2" s="1314" t="s">
        <v>76</v>
      </c>
      <c r="B2" s="1314"/>
      <c r="C2" s="1314"/>
      <c r="D2" s="1314"/>
      <c r="E2" s="1314"/>
      <c r="F2" s="1314"/>
      <c r="G2" s="1314"/>
      <c r="H2" s="1314"/>
    </row>
    <row r="3" spans="1:8" s="167" customFormat="1" ht="22.2">
      <c r="A3" s="982" t="s">
        <v>485</v>
      </c>
      <c r="B3" s="1183"/>
      <c r="C3" s="1183"/>
      <c r="D3" s="1183"/>
      <c r="E3" s="1183"/>
      <c r="F3" s="1183"/>
      <c r="G3" s="1183"/>
      <c r="H3" s="1183"/>
    </row>
    <row r="4" spans="1:8" s="168" customFormat="1" ht="19.8">
      <c r="A4" s="983" t="s">
        <v>804</v>
      </c>
      <c r="B4" s="983"/>
      <c r="C4" s="983"/>
      <c r="D4" s="983"/>
      <c r="E4" s="983"/>
      <c r="F4" s="983"/>
      <c r="G4" s="983"/>
      <c r="H4" s="983"/>
    </row>
    <row r="5" spans="1:8" ht="16.8" thickBot="1">
      <c r="A5" s="1313" t="s">
        <v>373</v>
      </c>
      <c r="B5" s="1313"/>
      <c r="C5" s="1313"/>
      <c r="D5" s="1313"/>
      <c r="E5" s="1313"/>
      <c r="F5" s="1313"/>
      <c r="G5" s="1313"/>
      <c r="H5" s="1313"/>
    </row>
    <row r="6" spans="1:8" ht="16.5" customHeight="1">
      <c r="A6" s="1179" t="s">
        <v>198</v>
      </c>
      <c r="B6" s="1274" t="s">
        <v>199</v>
      </c>
      <c r="C6" s="1274" t="s">
        <v>220</v>
      </c>
      <c r="D6" s="1274" t="s">
        <v>200</v>
      </c>
      <c r="E6" s="1308" t="s">
        <v>201</v>
      </c>
      <c r="F6" s="1309"/>
      <c r="G6" s="1310"/>
      <c r="H6" s="1311" t="s">
        <v>168</v>
      </c>
    </row>
    <row r="7" spans="1:8" ht="33" customHeight="1">
      <c r="A7" s="1180"/>
      <c r="B7" s="1275"/>
      <c r="C7" s="1275"/>
      <c r="D7" s="1275"/>
      <c r="E7" s="181" t="s">
        <v>374</v>
      </c>
      <c r="F7" s="150" t="s">
        <v>202</v>
      </c>
      <c r="G7" s="150" t="s">
        <v>438</v>
      </c>
      <c r="H7" s="1312"/>
    </row>
    <row r="8" spans="1:8" ht="50.1" customHeight="1">
      <c r="A8" s="547"/>
      <c r="B8" s="500"/>
      <c r="C8" s="500"/>
      <c r="D8" s="485"/>
      <c r="E8" s="485"/>
      <c r="F8" s="485"/>
      <c r="G8" s="485"/>
      <c r="H8" s="548"/>
    </row>
    <row r="9" spans="1:8" ht="50.25" customHeight="1">
      <c r="A9" s="300"/>
      <c r="B9" s="262"/>
      <c r="C9" s="263"/>
      <c r="D9" s="485"/>
      <c r="E9" s="485"/>
      <c r="F9" s="485"/>
      <c r="G9" s="485"/>
      <c r="H9" s="126"/>
    </row>
    <row r="10" spans="1:8" ht="50.25" customHeight="1">
      <c r="A10" s="300"/>
      <c r="B10" s="262"/>
      <c r="C10" s="263"/>
      <c r="D10" s="264"/>
      <c r="E10" s="264"/>
      <c r="F10" s="264"/>
      <c r="G10" s="264"/>
      <c r="H10" s="126"/>
    </row>
    <row r="11" spans="1:8" ht="50.25" customHeight="1">
      <c r="A11" s="300"/>
      <c r="B11" s="262"/>
      <c r="C11" s="263"/>
      <c r="D11" s="264"/>
      <c r="E11" s="264"/>
      <c r="F11" s="264"/>
      <c r="G11" s="264"/>
      <c r="H11" s="126"/>
    </row>
    <row r="12" spans="1:8" ht="50.25" customHeight="1">
      <c r="A12" s="300"/>
      <c r="B12" s="262"/>
      <c r="C12" s="263"/>
      <c r="D12" s="264"/>
      <c r="E12" s="264"/>
      <c r="F12" s="264"/>
      <c r="G12" s="264"/>
      <c r="H12" s="126"/>
    </row>
    <row r="13" spans="1:8" ht="50.25" customHeight="1">
      <c r="A13" s="300"/>
      <c r="B13" s="262"/>
      <c r="C13" s="263"/>
      <c r="D13" s="264"/>
      <c r="E13" s="264"/>
      <c r="F13" s="264"/>
      <c r="G13" s="264"/>
      <c r="H13" s="126"/>
    </row>
    <row r="14" spans="1:8" ht="50.25" customHeight="1">
      <c r="A14" s="300"/>
      <c r="B14" s="262"/>
      <c r="C14" s="263"/>
      <c r="D14" s="264"/>
      <c r="E14" s="264"/>
      <c r="F14" s="264"/>
      <c r="G14" s="264"/>
      <c r="H14" s="126"/>
    </row>
    <row r="15" spans="1:8" ht="50.25" customHeight="1">
      <c r="A15" s="300"/>
      <c r="B15" s="262"/>
      <c r="C15" s="263"/>
      <c r="D15" s="264"/>
      <c r="E15" s="264"/>
      <c r="F15" s="264"/>
      <c r="G15" s="264"/>
      <c r="H15" s="126"/>
    </row>
    <row r="16" spans="1:8" ht="50.25" customHeight="1">
      <c r="A16" s="300"/>
      <c r="B16" s="262"/>
      <c r="C16" s="263"/>
      <c r="D16" s="264"/>
      <c r="E16" s="264"/>
      <c r="F16" s="264"/>
      <c r="G16" s="264"/>
      <c r="H16" s="126"/>
    </row>
    <row r="17" spans="1:8" ht="50.25" customHeight="1">
      <c r="A17" s="300"/>
      <c r="B17" s="262"/>
      <c r="C17" s="263"/>
      <c r="D17" s="264"/>
      <c r="E17" s="264"/>
      <c r="F17" s="264"/>
      <c r="G17" s="264"/>
      <c r="H17" s="126"/>
    </row>
    <row r="18" spans="1:8" ht="50.25" customHeight="1">
      <c r="A18" s="300"/>
      <c r="B18" s="262"/>
      <c r="C18" s="263"/>
      <c r="D18" s="264"/>
      <c r="E18" s="264"/>
      <c r="F18" s="264"/>
      <c r="G18" s="264"/>
      <c r="H18" s="126"/>
    </row>
    <row r="19" spans="1:8" ht="69" customHeight="1">
      <c r="A19" s="300"/>
      <c r="B19" s="262"/>
      <c r="C19" s="263"/>
      <c r="D19" s="264"/>
      <c r="E19" s="264"/>
      <c r="F19" s="264"/>
      <c r="G19" s="264"/>
      <c r="H19" s="126"/>
    </row>
    <row r="20" spans="1:8" s="394" customFormat="1" ht="50.25" customHeight="1" thickBot="1">
      <c r="A20" s="437" t="s">
        <v>149</v>
      </c>
      <c r="B20" s="438"/>
      <c r="C20" s="438"/>
      <c r="D20" s="439">
        <f>SUM(D8:D19)</f>
        <v>0</v>
      </c>
      <c r="E20" s="439">
        <f>SUM(E8:E19)</f>
        <v>0</v>
      </c>
      <c r="F20" s="439">
        <f>SUM(F8:F19)</f>
        <v>0</v>
      </c>
      <c r="G20" s="439">
        <f>SUM(G8:G19)</f>
        <v>0</v>
      </c>
      <c r="H20" s="440"/>
    </row>
  </sheetData>
  <mergeCells count="11">
    <mergeCell ref="B6:B7"/>
    <mergeCell ref="C6:C7"/>
    <mergeCell ref="D6:D7"/>
    <mergeCell ref="A1:H1"/>
    <mergeCell ref="A5:H5"/>
    <mergeCell ref="A3:H3"/>
    <mergeCell ref="A4:H4"/>
    <mergeCell ref="A2:H2"/>
    <mergeCell ref="A6:A7"/>
    <mergeCell ref="E6:G6"/>
    <mergeCell ref="H6:H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46" orientation="portrait" useFirstPageNumber="1" r:id="rId1"/>
  <headerFooter alignWithMargins="0">
    <oddFooter>&amp;C&amp;"Arial Unicode MS,標準"&amp;P</oddFooter>
  </headerFooter>
</worksheet>
</file>

<file path=xl/worksheets/sheet51.xml><?xml version="1.0" encoding="utf-8"?>
<worksheet xmlns="http://schemas.openxmlformats.org/spreadsheetml/2006/main" xmlns:r="http://schemas.openxmlformats.org/officeDocument/2006/relationships">
  <sheetPr codeName="Sheet48"/>
  <dimension ref="A14:N22"/>
  <sheetViews>
    <sheetView topLeftCell="A7" zoomScaleNormal="100" workbookViewId="0">
      <selection activeCell="P29" sqref="P29"/>
    </sheetView>
  </sheetViews>
  <sheetFormatPr defaultRowHeight="16.2"/>
  <sheetData>
    <row r="14" spans="1:14" ht="33">
      <c r="K14" s="142"/>
      <c r="L14" s="142"/>
      <c r="M14" s="142"/>
      <c r="N14" s="142"/>
    </row>
    <row r="15" spans="1:14" ht="31.5" customHeight="1"/>
    <row r="16" spans="1:14" ht="32.25" customHeight="1">
      <c r="A16" s="1315" t="s">
        <v>684</v>
      </c>
      <c r="B16" s="1316"/>
      <c r="C16" s="1316"/>
      <c r="D16" s="1316"/>
      <c r="E16" s="1316"/>
      <c r="F16" s="1316"/>
      <c r="G16" s="1316"/>
      <c r="H16" s="1316"/>
      <c r="I16" s="1316"/>
      <c r="J16" s="1316"/>
    </row>
    <row r="17" spans="1:10" ht="32.25" customHeight="1">
      <c r="A17" s="143"/>
      <c r="B17" s="144"/>
      <c r="C17" s="144"/>
      <c r="D17" s="144"/>
      <c r="E17" s="144"/>
      <c r="F17" s="144"/>
      <c r="G17" s="144"/>
      <c r="H17" s="144"/>
      <c r="I17" s="144"/>
      <c r="J17" s="144"/>
    </row>
    <row r="18" spans="1:10" ht="32.25" customHeight="1">
      <c r="A18" s="143"/>
      <c r="B18" s="144"/>
      <c r="C18" s="144"/>
      <c r="D18" s="144"/>
      <c r="E18" s="144"/>
      <c r="F18" s="144"/>
      <c r="G18" s="144"/>
      <c r="H18" s="144"/>
      <c r="I18" s="144"/>
      <c r="J18" s="144"/>
    </row>
    <row r="22" spans="1:10" ht="32.25" customHeight="1">
      <c r="A22" s="1315" t="s">
        <v>685</v>
      </c>
      <c r="B22" s="1315"/>
      <c r="C22" s="1315"/>
      <c r="D22" s="1315"/>
      <c r="E22" s="1315"/>
      <c r="F22" s="1315"/>
      <c r="G22" s="1315"/>
      <c r="H22" s="1315"/>
      <c r="I22" s="1315"/>
      <c r="J22" s="1315"/>
    </row>
  </sheetData>
  <mergeCells count="2">
    <mergeCell ref="A16:J16"/>
    <mergeCell ref="A22:J22"/>
  </mergeCells>
  <phoneticPr fontId="2" type="noConversion"/>
  <printOptions horizontalCentered="1"/>
  <pageMargins left="0.55118110236220474" right="0.35433070866141736" top="0.78740157480314965" bottom="0.78740157480314965"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sheetPr codeName="Sheet53"/>
  <dimension ref="A1:I29"/>
  <sheetViews>
    <sheetView zoomScaleNormal="100" workbookViewId="0">
      <selection activeCell="B36" sqref="B36"/>
    </sheetView>
  </sheetViews>
  <sheetFormatPr defaultColWidth="9" defaultRowHeight="16.2"/>
  <cols>
    <col min="1" max="1" width="9" style="556"/>
    <col min="2" max="2" width="33.21875" style="557" customWidth="1"/>
    <col min="3" max="4" width="8.21875" style="556" bestFit="1" customWidth="1"/>
    <col min="5" max="5" width="10.77734375" style="556" bestFit="1" customWidth="1"/>
    <col min="6" max="6" width="12.77734375" style="556" bestFit="1" customWidth="1"/>
    <col min="7" max="7" width="15.6640625" style="556" customWidth="1"/>
    <col min="8" max="8" width="9" style="556"/>
    <col min="9" max="9" width="33.6640625" style="556" customWidth="1"/>
    <col min="10" max="16384" width="9" style="556"/>
  </cols>
  <sheetData>
    <row r="1" spans="1:9" ht="22.2">
      <c r="B1" s="1319" t="s">
        <v>224</v>
      </c>
      <c r="C1" s="1319"/>
      <c r="D1" s="1319"/>
      <c r="E1" s="1319"/>
      <c r="F1" s="1319"/>
      <c r="G1" s="1319"/>
    </row>
    <row r="2" spans="1:9" ht="22.2">
      <c r="B2" s="1319" t="s">
        <v>225</v>
      </c>
      <c r="C2" s="1319"/>
      <c r="D2" s="1319"/>
      <c r="E2" s="1319"/>
      <c r="F2" s="1319"/>
      <c r="G2" s="1319"/>
    </row>
    <row r="3" spans="1:9" ht="22.2">
      <c r="B3" s="1319" t="s">
        <v>652</v>
      </c>
      <c r="C3" s="1319"/>
      <c r="D3" s="1319"/>
      <c r="E3" s="1319"/>
      <c r="F3" s="1319"/>
      <c r="G3" s="1319"/>
    </row>
    <row r="4" spans="1:9" ht="19.8">
      <c r="B4" s="1320" t="s">
        <v>812</v>
      </c>
      <c r="C4" s="1320"/>
      <c r="D4" s="1320"/>
      <c r="E4" s="1320"/>
      <c r="F4" s="1320"/>
      <c r="G4" s="1320"/>
    </row>
    <row r="5" spans="1:9" ht="16.8" thickBot="1">
      <c r="C5" s="558"/>
      <c r="D5" s="559"/>
      <c r="F5" s="559"/>
      <c r="G5" s="560" t="s">
        <v>226</v>
      </c>
    </row>
    <row r="6" spans="1:9">
      <c r="A6" s="1317" t="s">
        <v>716</v>
      </c>
      <c r="B6" s="1321" t="s">
        <v>227</v>
      </c>
      <c r="C6" s="1323" t="s">
        <v>228</v>
      </c>
      <c r="D6" s="1323"/>
      <c r="E6" s="1323"/>
      <c r="F6" s="1323"/>
      <c r="G6" s="1324" t="s">
        <v>229</v>
      </c>
    </row>
    <row r="7" spans="1:9">
      <c r="A7" s="1318"/>
      <c r="B7" s="1322"/>
      <c r="C7" s="561" t="s">
        <v>230</v>
      </c>
      <c r="D7" s="561" t="s">
        <v>231</v>
      </c>
      <c r="E7" s="561" t="s">
        <v>232</v>
      </c>
      <c r="F7" s="561" t="s">
        <v>233</v>
      </c>
      <c r="G7" s="1325"/>
    </row>
    <row r="8" spans="1:9" ht="34.5" customHeight="1">
      <c r="A8" s="657"/>
      <c r="B8" s="562" t="s">
        <v>234</v>
      </c>
      <c r="C8" s="561"/>
      <c r="D8" s="561"/>
      <c r="E8" s="561"/>
      <c r="F8" s="561">
        <f>SUM(F9:F18)</f>
        <v>16515</v>
      </c>
      <c r="G8" s="658"/>
    </row>
    <row r="9" spans="1:9" s="536" customFormat="1" ht="34.5" customHeight="1">
      <c r="A9" s="659" t="s">
        <v>714</v>
      </c>
      <c r="B9" s="668" t="s">
        <v>853</v>
      </c>
      <c r="C9" s="182" t="s">
        <v>235</v>
      </c>
      <c r="D9" s="182">
        <v>1</v>
      </c>
      <c r="E9" s="182">
        <v>1750</v>
      </c>
      <c r="F9" s="182">
        <f t="shared" ref="F9:F28" si="0">D9*E9</f>
        <v>1750</v>
      </c>
      <c r="G9" s="660" t="s">
        <v>816</v>
      </c>
    </row>
    <row r="10" spans="1:9" s="536" customFormat="1" ht="34.5" customHeight="1">
      <c r="A10" s="659" t="s">
        <v>714</v>
      </c>
      <c r="B10" s="668" t="s">
        <v>854</v>
      </c>
      <c r="C10" s="182" t="s">
        <v>235</v>
      </c>
      <c r="D10" s="182">
        <v>1</v>
      </c>
      <c r="E10" s="182">
        <v>4500</v>
      </c>
      <c r="F10" s="182">
        <f t="shared" si="0"/>
        <v>4500</v>
      </c>
      <c r="G10" s="660" t="s">
        <v>483</v>
      </c>
    </row>
    <row r="11" spans="1:9" s="536" customFormat="1" ht="34.5" customHeight="1">
      <c r="A11" s="659" t="s">
        <v>714</v>
      </c>
      <c r="B11" s="669" t="s">
        <v>855</v>
      </c>
      <c r="C11" s="182" t="s">
        <v>235</v>
      </c>
      <c r="D11" s="182">
        <v>1</v>
      </c>
      <c r="E11" s="182">
        <v>650</v>
      </c>
      <c r="F11" s="182">
        <f t="shared" si="0"/>
        <v>650</v>
      </c>
      <c r="G11" s="660" t="s">
        <v>483</v>
      </c>
    </row>
    <row r="12" spans="1:9" s="536" customFormat="1" ht="34.5" customHeight="1">
      <c r="A12" s="659" t="s">
        <v>714</v>
      </c>
      <c r="B12" s="670" t="s">
        <v>856</v>
      </c>
      <c r="C12" s="182" t="s">
        <v>235</v>
      </c>
      <c r="D12" s="182">
        <v>1</v>
      </c>
      <c r="E12" s="182">
        <v>2320</v>
      </c>
      <c r="F12" s="182">
        <f t="shared" si="0"/>
        <v>2320</v>
      </c>
      <c r="G12" s="660" t="s">
        <v>483</v>
      </c>
      <c r="I12" s="590"/>
    </row>
    <row r="13" spans="1:9" s="536" customFormat="1" ht="60" customHeight="1">
      <c r="A13" s="659" t="s">
        <v>714</v>
      </c>
      <c r="B13" s="689" t="s">
        <v>857</v>
      </c>
      <c r="C13" s="182" t="s">
        <v>235</v>
      </c>
      <c r="D13" s="182">
        <v>1</v>
      </c>
      <c r="E13" s="182">
        <v>1285</v>
      </c>
      <c r="F13" s="182">
        <f t="shared" si="0"/>
        <v>1285</v>
      </c>
      <c r="G13" s="660" t="s">
        <v>817</v>
      </c>
      <c r="I13" s="590"/>
    </row>
    <row r="14" spans="1:9" s="536" customFormat="1" ht="34.5" customHeight="1">
      <c r="A14" s="690" t="s">
        <v>715</v>
      </c>
      <c r="B14" s="697" t="s">
        <v>883</v>
      </c>
      <c r="C14" s="182" t="s">
        <v>805</v>
      </c>
      <c r="D14" s="182">
        <v>7</v>
      </c>
      <c r="E14" s="182">
        <v>290</v>
      </c>
      <c r="F14" s="182">
        <f t="shared" si="0"/>
        <v>2030</v>
      </c>
      <c r="G14" s="660" t="s">
        <v>483</v>
      </c>
    </row>
    <row r="15" spans="1:9" s="536" customFormat="1" ht="34.5" customHeight="1">
      <c r="A15" s="690" t="s">
        <v>715</v>
      </c>
      <c r="B15" s="697" t="s">
        <v>875</v>
      </c>
      <c r="C15" s="182" t="s">
        <v>805</v>
      </c>
      <c r="D15" s="182">
        <v>2</v>
      </c>
      <c r="E15" s="182">
        <v>600</v>
      </c>
      <c r="F15" s="182">
        <f t="shared" si="0"/>
        <v>1200</v>
      </c>
      <c r="G15" s="660"/>
    </row>
    <row r="16" spans="1:9" s="536" customFormat="1" ht="34.5" customHeight="1">
      <c r="A16" s="690" t="s">
        <v>715</v>
      </c>
      <c r="B16" s="697" t="s">
        <v>884</v>
      </c>
      <c r="C16" s="182" t="s">
        <v>805</v>
      </c>
      <c r="D16" s="182">
        <v>1</v>
      </c>
      <c r="E16" s="182">
        <v>100</v>
      </c>
      <c r="F16" s="182">
        <f t="shared" si="0"/>
        <v>100</v>
      </c>
      <c r="G16" s="660"/>
    </row>
    <row r="17" spans="1:7" s="536" customFormat="1" ht="34.5" customHeight="1">
      <c r="A17" s="690" t="s">
        <v>715</v>
      </c>
      <c r="B17" s="697" t="s">
        <v>874</v>
      </c>
      <c r="C17" s="182" t="s">
        <v>235</v>
      </c>
      <c r="D17" s="182">
        <v>1</v>
      </c>
      <c r="E17" s="182">
        <v>2000</v>
      </c>
      <c r="F17" s="182">
        <f t="shared" si="0"/>
        <v>2000</v>
      </c>
      <c r="G17" s="660"/>
    </row>
    <row r="18" spans="1:7" s="536" customFormat="1" ht="34.5" customHeight="1">
      <c r="A18" s="690" t="s">
        <v>715</v>
      </c>
      <c r="B18" s="697" t="s">
        <v>876</v>
      </c>
      <c r="C18" s="182" t="s">
        <v>235</v>
      </c>
      <c r="D18" s="182">
        <v>1</v>
      </c>
      <c r="E18" s="182">
        <v>680</v>
      </c>
      <c r="F18" s="182">
        <f t="shared" si="0"/>
        <v>680</v>
      </c>
      <c r="G18" s="660" t="s">
        <v>483</v>
      </c>
    </row>
    <row r="19" spans="1:7" ht="34.5" customHeight="1">
      <c r="A19" s="661"/>
      <c r="B19" s="562" t="s">
        <v>193</v>
      </c>
      <c r="C19" s="561"/>
      <c r="D19" s="561"/>
      <c r="E19" s="561"/>
      <c r="F19" s="561">
        <f>SUM(F20:F28)</f>
        <v>2740.01</v>
      </c>
      <c r="G19" s="660"/>
    </row>
    <row r="20" spans="1:7" ht="34.5" customHeight="1">
      <c r="A20" s="690" t="s">
        <v>715</v>
      </c>
      <c r="B20" s="697" t="s">
        <v>877</v>
      </c>
      <c r="C20" s="182" t="s">
        <v>805</v>
      </c>
      <c r="D20" s="561">
        <v>2</v>
      </c>
      <c r="E20" s="561">
        <v>100</v>
      </c>
      <c r="F20" s="182">
        <f t="shared" si="0"/>
        <v>200</v>
      </c>
      <c r="G20" s="660"/>
    </row>
    <row r="21" spans="1:7" ht="34.5" customHeight="1">
      <c r="A21" s="690" t="s">
        <v>715</v>
      </c>
      <c r="B21" s="697" t="s">
        <v>885</v>
      </c>
      <c r="C21" s="182" t="s">
        <v>805</v>
      </c>
      <c r="D21" s="561">
        <v>5</v>
      </c>
      <c r="E21" s="561">
        <v>60</v>
      </c>
      <c r="F21" s="182">
        <f t="shared" si="0"/>
        <v>300</v>
      </c>
      <c r="G21" s="660"/>
    </row>
    <row r="22" spans="1:7" ht="34.5" customHeight="1">
      <c r="A22" s="690" t="s">
        <v>715</v>
      </c>
      <c r="B22" s="697" t="s">
        <v>813</v>
      </c>
      <c r="C22" s="182" t="s">
        <v>805</v>
      </c>
      <c r="D22" s="561">
        <v>16</v>
      </c>
      <c r="E22" s="561">
        <v>25</v>
      </c>
      <c r="F22" s="182">
        <f t="shared" si="0"/>
        <v>400</v>
      </c>
      <c r="G22" s="660"/>
    </row>
    <row r="23" spans="1:7" ht="34.5" customHeight="1">
      <c r="A23" s="690" t="s">
        <v>715</v>
      </c>
      <c r="B23" s="697" t="s">
        <v>886</v>
      </c>
      <c r="C23" s="182" t="s">
        <v>805</v>
      </c>
      <c r="D23" s="561">
        <v>2</v>
      </c>
      <c r="E23" s="561">
        <v>20</v>
      </c>
      <c r="F23" s="182">
        <f t="shared" si="0"/>
        <v>40</v>
      </c>
      <c r="G23" s="660"/>
    </row>
    <row r="24" spans="1:7" ht="34.5" customHeight="1">
      <c r="A24" s="690" t="s">
        <v>878</v>
      </c>
      <c r="B24" s="697" t="s">
        <v>879</v>
      </c>
      <c r="C24" s="182" t="s">
        <v>880</v>
      </c>
      <c r="D24" s="561">
        <v>2</v>
      </c>
      <c r="E24" s="561">
        <v>20</v>
      </c>
      <c r="F24" s="698">
        <f t="shared" si="0"/>
        <v>40</v>
      </c>
      <c r="G24" s="699" t="s">
        <v>882</v>
      </c>
    </row>
    <row r="25" spans="1:7" ht="34.5" customHeight="1">
      <c r="A25" s="690" t="s">
        <v>878</v>
      </c>
      <c r="B25" s="697" t="s">
        <v>881</v>
      </c>
      <c r="C25" s="182" t="s">
        <v>880</v>
      </c>
      <c r="D25" s="561">
        <v>3</v>
      </c>
      <c r="E25" s="674">
        <v>153.33000000000001</v>
      </c>
      <c r="F25" s="698">
        <f t="shared" si="0"/>
        <v>459.99</v>
      </c>
      <c r="G25" s="699" t="s">
        <v>882</v>
      </c>
    </row>
    <row r="26" spans="1:7" ht="34.5" customHeight="1">
      <c r="A26" s="690" t="s">
        <v>715</v>
      </c>
      <c r="B26" s="697" t="s">
        <v>858</v>
      </c>
      <c r="C26" s="182" t="s">
        <v>805</v>
      </c>
      <c r="D26" s="561">
        <v>3</v>
      </c>
      <c r="E26" s="674">
        <v>166.67</v>
      </c>
      <c r="F26" s="182">
        <f t="shared" si="0"/>
        <v>500.01</v>
      </c>
      <c r="G26" s="660"/>
    </row>
    <row r="27" spans="1:7" ht="34.5" customHeight="1">
      <c r="A27" s="690" t="s">
        <v>715</v>
      </c>
      <c r="B27" s="697" t="s">
        <v>814</v>
      </c>
      <c r="C27" s="182" t="s">
        <v>235</v>
      </c>
      <c r="D27" s="561">
        <v>1</v>
      </c>
      <c r="E27" s="561">
        <v>300</v>
      </c>
      <c r="F27" s="182">
        <f t="shared" si="0"/>
        <v>300</v>
      </c>
      <c r="G27" s="660"/>
    </row>
    <row r="28" spans="1:7" s="536" customFormat="1" ht="34.5" customHeight="1">
      <c r="A28" s="690" t="s">
        <v>715</v>
      </c>
      <c r="B28" s="697" t="s">
        <v>815</v>
      </c>
      <c r="C28" s="182" t="s">
        <v>805</v>
      </c>
      <c r="D28" s="182">
        <v>3</v>
      </c>
      <c r="E28" s="674">
        <v>166.67</v>
      </c>
      <c r="F28" s="182">
        <f t="shared" si="0"/>
        <v>500.01</v>
      </c>
      <c r="G28" s="660" t="s">
        <v>483</v>
      </c>
    </row>
    <row r="29" spans="1:7" ht="34.5" customHeight="1" thickBot="1">
      <c r="A29" s="662"/>
      <c r="B29" s="691" t="s">
        <v>236</v>
      </c>
      <c r="C29" s="663"/>
      <c r="D29" s="664"/>
      <c r="E29" s="665"/>
      <c r="F29" s="664">
        <f>F8+F19</f>
        <v>19255.010000000002</v>
      </c>
      <c r="G29" s="666"/>
    </row>
  </sheetData>
  <mergeCells count="8">
    <mergeCell ref="A6:A7"/>
    <mergeCell ref="B1:G1"/>
    <mergeCell ref="B3:G3"/>
    <mergeCell ref="B4:G4"/>
    <mergeCell ref="B6:B7"/>
    <mergeCell ref="C6:F6"/>
    <mergeCell ref="G6:G7"/>
    <mergeCell ref="B2:G2"/>
  </mergeCells>
  <phoneticPr fontId="14" type="noConversion"/>
  <printOptions horizontalCentered="1"/>
  <pageMargins left="0.47244094488188981" right="0.47244094488188981" top="0.59055118110236227" bottom="0.39370078740157483" header="0.51181102362204722" footer="0.51181102362204722"/>
  <pageSetup paperSize="9" scale="90" orientation="portrait" r:id="rId1"/>
  <headerFooter alignWithMargins="0"/>
</worksheet>
</file>

<file path=xl/worksheets/sheet53.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1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7">
    <tabColor rgb="FFFFFFCC"/>
  </sheetPr>
  <dimension ref="A1:E40"/>
  <sheetViews>
    <sheetView workbookViewId="0">
      <selection activeCell="E38" sqref="E38"/>
    </sheetView>
  </sheetViews>
  <sheetFormatPr defaultColWidth="9" defaultRowHeight="16.2"/>
  <cols>
    <col min="1" max="1" width="10.6640625" style="1" customWidth="1"/>
    <col min="2" max="2" width="24.109375" style="1" customWidth="1"/>
    <col min="3" max="3" width="16.109375" style="1" customWidth="1"/>
    <col min="4" max="4" width="23.44140625" style="1" customWidth="1"/>
    <col min="5" max="5" width="16.109375" style="1" customWidth="1"/>
    <col min="6" max="6" width="24.77734375" style="1" customWidth="1"/>
    <col min="7" max="16384" width="9" style="1"/>
  </cols>
  <sheetData>
    <row r="1" spans="1:5" ht="24.6">
      <c r="A1" s="149"/>
      <c r="B1" s="986" t="s">
        <v>145</v>
      </c>
      <c r="C1" s="986"/>
      <c r="D1" s="986"/>
      <c r="E1" s="986"/>
    </row>
    <row r="2" spans="1:5" ht="22.2">
      <c r="A2" s="167"/>
      <c r="B2" s="987" t="s">
        <v>238</v>
      </c>
      <c r="C2" s="987"/>
      <c r="D2" s="987"/>
      <c r="E2" s="987"/>
    </row>
    <row r="3" spans="1:5" ht="22.2">
      <c r="A3" s="167"/>
      <c r="B3" s="988" t="s">
        <v>253</v>
      </c>
      <c r="C3" s="988"/>
      <c r="D3" s="988"/>
      <c r="E3" s="988"/>
    </row>
    <row r="4" spans="1:5" ht="19.8">
      <c r="A4" s="168"/>
      <c r="B4" s="989" t="s">
        <v>1022</v>
      </c>
      <c r="C4" s="989"/>
      <c r="D4" s="989"/>
      <c r="E4" s="989"/>
    </row>
    <row r="5" spans="1:5">
      <c r="A5" s="3" t="s">
        <v>125</v>
      </c>
      <c r="B5" s="3"/>
      <c r="C5" s="3"/>
      <c r="D5" s="3"/>
      <c r="E5" s="3"/>
    </row>
    <row r="6" spans="1:5" ht="22.8">
      <c r="A6" s="152" t="s">
        <v>126</v>
      </c>
      <c r="B6" s="982" t="s">
        <v>1119</v>
      </c>
      <c r="C6" s="982"/>
      <c r="D6" s="982"/>
      <c r="E6" s="982"/>
    </row>
    <row r="7" spans="1:5" ht="22.2">
      <c r="A7" s="151"/>
      <c r="B7" s="995" t="s">
        <v>275</v>
      </c>
      <c r="C7" s="995"/>
      <c r="D7" s="995"/>
      <c r="E7" s="995"/>
    </row>
    <row r="20" spans="2:5" ht="22.2">
      <c r="B20" s="995" t="s">
        <v>274</v>
      </c>
      <c r="C20" s="999"/>
      <c r="D20" s="999"/>
      <c r="E20" s="999"/>
    </row>
    <row r="35" spans="2:5" ht="26.25" customHeight="1">
      <c r="E35" s="21" t="s">
        <v>640</v>
      </c>
    </row>
    <row r="36" spans="2:5" ht="25.5" customHeight="1">
      <c r="B36" s="2" t="s">
        <v>270</v>
      </c>
      <c r="C36" s="2" t="s">
        <v>1120</v>
      </c>
      <c r="D36" s="2" t="s">
        <v>271</v>
      </c>
      <c r="E36" s="2" t="s">
        <v>1120</v>
      </c>
    </row>
    <row r="37" spans="2:5" s="9" customFormat="1" ht="25.5" customHeight="1">
      <c r="B37" s="8" t="s">
        <v>272</v>
      </c>
      <c r="C37" s="204">
        <v>174539</v>
      </c>
      <c r="D37" s="343" t="s">
        <v>273</v>
      </c>
      <c r="E37" s="204">
        <v>174539</v>
      </c>
    </row>
    <row r="38" spans="2:5" s="9" customFormat="1" ht="45.75" customHeight="1">
      <c r="B38" s="8"/>
      <c r="C38" s="8"/>
      <c r="D38" s="8"/>
      <c r="E38" s="8"/>
    </row>
    <row r="39" spans="2:5" s="9" customFormat="1" ht="25.5" customHeight="1">
      <c r="B39" s="6"/>
      <c r="C39" s="6"/>
      <c r="D39" s="6"/>
      <c r="E39" s="6"/>
    </row>
    <row r="40" spans="2:5" s="102" customFormat="1" ht="25.5" customHeight="1">
      <c r="B40" s="2" t="s">
        <v>638</v>
      </c>
      <c r="C40" s="193">
        <f>SUM(C37:C39)</f>
        <v>174539</v>
      </c>
      <c r="D40" s="2" t="s">
        <v>638</v>
      </c>
      <c r="E40" s="193">
        <f>SUM(E37:E39)</f>
        <v>174539</v>
      </c>
    </row>
  </sheetData>
  <mergeCells count="7">
    <mergeCell ref="B20:E20"/>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firstPageNumber="13"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8">
    <tabColor rgb="FFFFFFCC"/>
  </sheetPr>
  <dimension ref="A1:I44"/>
  <sheetViews>
    <sheetView zoomScaleNormal="100" workbookViewId="0">
      <selection activeCell="F42" sqref="F42"/>
    </sheetView>
  </sheetViews>
  <sheetFormatPr defaultColWidth="9" defaultRowHeight="16.2"/>
  <cols>
    <col min="1" max="1" width="21.6640625" style="1" customWidth="1"/>
    <col min="2" max="6" width="11.6640625" style="1" customWidth="1"/>
    <col min="7" max="9" width="13.6640625" style="1" customWidth="1"/>
    <col min="10" max="16384" width="9" style="1"/>
  </cols>
  <sheetData>
    <row r="1" spans="1:8" ht="24.6">
      <c r="A1" s="986" t="s">
        <v>237</v>
      </c>
      <c r="B1" s="986"/>
      <c r="C1" s="986"/>
      <c r="D1" s="986"/>
      <c r="E1" s="986"/>
      <c r="F1" s="986"/>
      <c r="G1" s="445"/>
      <c r="H1" s="445"/>
    </row>
    <row r="2" spans="1:8" ht="22.2">
      <c r="A2" s="987" t="s">
        <v>238</v>
      </c>
      <c r="B2" s="987"/>
      <c r="C2" s="987"/>
      <c r="D2" s="987"/>
      <c r="E2" s="987"/>
      <c r="F2" s="987"/>
      <c r="G2" s="443"/>
      <c r="H2" s="443"/>
    </row>
    <row r="3" spans="1:8" ht="22.2">
      <c r="A3" s="988" t="s">
        <v>253</v>
      </c>
      <c r="B3" s="988"/>
      <c r="C3" s="988"/>
      <c r="D3" s="988"/>
      <c r="E3" s="988"/>
      <c r="F3" s="988"/>
      <c r="G3" s="444"/>
      <c r="H3" s="444"/>
    </row>
    <row r="4" spans="1:8" ht="19.5" customHeight="1">
      <c r="A4" s="989" t="s">
        <v>1022</v>
      </c>
      <c r="B4" s="989"/>
      <c r="C4" s="989"/>
      <c r="D4" s="989"/>
      <c r="E4" s="989"/>
      <c r="F4" s="989"/>
      <c r="G4" s="5"/>
      <c r="H4" s="5"/>
    </row>
    <row r="6" spans="1:8" ht="22.2">
      <c r="A6" s="988" t="s">
        <v>719</v>
      </c>
      <c r="B6" s="988"/>
      <c r="C6" s="988"/>
      <c r="D6" s="988"/>
      <c r="E6" s="988"/>
      <c r="F6" s="988"/>
    </row>
    <row r="34" spans="1:9" ht="24.75" customHeight="1"/>
    <row r="36" spans="1:9">
      <c r="B36" s="998" t="s">
        <v>653</v>
      </c>
      <c r="C36" s="998"/>
      <c r="D36" s="998"/>
      <c r="E36" s="998"/>
      <c r="F36" s="998"/>
      <c r="H36" s="998"/>
      <c r="I36" s="998"/>
    </row>
    <row r="37" spans="1:9" ht="3.75" customHeight="1"/>
    <row r="38" spans="1:9" hidden="1"/>
    <row r="39" spans="1:9" s="648" customFormat="1" ht="35.1" customHeight="1">
      <c r="A39" s="798" t="s">
        <v>654</v>
      </c>
      <c r="B39" s="799" t="s">
        <v>1115</v>
      </c>
      <c r="C39" s="799" t="s">
        <v>1116</v>
      </c>
      <c r="D39" s="799" t="s">
        <v>1117</v>
      </c>
      <c r="E39" s="799" t="s">
        <v>1118</v>
      </c>
      <c r="F39" s="799" t="s">
        <v>1109</v>
      </c>
    </row>
    <row r="40" spans="1:9" s="648" customFormat="1" ht="30" customHeight="1">
      <c r="A40" s="800" t="s">
        <v>130</v>
      </c>
      <c r="B40" s="801"/>
      <c r="C40" s="801"/>
      <c r="D40" s="801"/>
      <c r="E40" s="801"/>
      <c r="F40" s="801"/>
    </row>
    <row r="41" spans="1:9" s="648" customFormat="1" ht="30" customHeight="1">
      <c r="A41" s="802" t="s">
        <v>637</v>
      </c>
      <c r="B41" s="539">
        <v>51605</v>
      </c>
      <c r="C41" s="539">
        <v>101032</v>
      </c>
      <c r="D41" s="539">
        <v>151008</v>
      </c>
      <c r="E41" s="539">
        <v>120366</v>
      </c>
      <c r="F41" s="539">
        <v>174539</v>
      </c>
    </row>
    <row r="42" spans="1:9" s="648" customFormat="1" ht="30" customHeight="1">
      <c r="A42" s="803" t="s">
        <v>639</v>
      </c>
      <c r="B42" s="804">
        <f>SUM(B41:B41)</f>
        <v>51605</v>
      </c>
      <c r="C42" s="804">
        <f>SUM(C41:C41)</f>
        <v>101032</v>
      </c>
      <c r="D42" s="804">
        <f>SUM(D41:D41)</f>
        <v>151008</v>
      </c>
      <c r="E42" s="804">
        <f>SUM(E41:E41)</f>
        <v>120366</v>
      </c>
      <c r="F42" s="804">
        <f>SUM(F41:F41)</f>
        <v>174539</v>
      </c>
    </row>
    <row r="43" spans="1:9" s="605" customFormat="1">
      <c r="A43" s="605" t="s">
        <v>1114</v>
      </c>
    </row>
    <row r="44" spans="1:9">
      <c r="B44" s="1">
        <f>B41/1000</f>
        <v>51.604999999999997</v>
      </c>
      <c r="C44" s="1">
        <f>C41/1000</f>
        <v>101.032</v>
      </c>
      <c r="D44" s="1">
        <f>D41/1000</f>
        <v>151.00800000000001</v>
      </c>
      <c r="E44" s="1">
        <f>E41/1000</f>
        <v>120.366</v>
      </c>
      <c r="F44" s="1">
        <f>F41/1000</f>
        <v>174.53899999999999</v>
      </c>
    </row>
  </sheetData>
  <mergeCells count="7">
    <mergeCell ref="A3:F3"/>
    <mergeCell ref="A2:F2"/>
    <mergeCell ref="A1:F1"/>
    <mergeCell ref="H36:I36"/>
    <mergeCell ref="B36:F36"/>
    <mergeCell ref="A6:F6"/>
    <mergeCell ref="A4:F4"/>
  </mergeCells>
  <phoneticPr fontId="3" type="noConversion"/>
  <printOptions horizontalCentered="1"/>
  <pageMargins left="0.98425196850393704" right="0.98425196850393704" top="0.59055118110236227" bottom="0.78740157480314965" header="0.51181102362204722" footer="0.51181102362204722"/>
  <pageSetup paperSize="9" firstPageNumber="14" orientation="portrait" blackAndWhite="1"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sheetPr codeName="Sheet9"/>
  <dimension ref="A16:I16"/>
  <sheetViews>
    <sheetView topLeftCell="B1" zoomScaleNormal="100" workbookViewId="0">
      <selection activeCell="K17" sqref="K17:L17"/>
    </sheetView>
  </sheetViews>
  <sheetFormatPr defaultColWidth="9" defaultRowHeight="16.2"/>
  <cols>
    <col min="1" max="8" width="9" style="1"/>
    <col min="9" max="9" width="14.109375" style="1" customWidth="1"/>
    <col min="10" max="16384" width="9" style="1"/>
  </cols>
  <sheetData>
    <row r="16" spans="1:9" ht="49.8">
      <c r="A16" s="1000" t="s">
        <v>276</v>
      </c>
      <c r="B16" s="1000"/>
      <c r="C16" s="1000"/>
      <c r="D16" s="1000"/>
      <c r="E16" s="1000"/>
      <c r="F16" s="1000"/>
      <c r="G16" s="1000"/>
      <c r="H16" s="1000"/>
      <c r="I16" s="1000"/>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tabColor rgb="FFFFFFCC"/>
  </sheetPr>
  <dimension ref="A1:J38"/>
  <sheetViews>
    <sheetView view="pageBreakPreview" topLeftCell="A19" zoomScale="80" zoomScaleNormal="100" zoomScaleSheetLayoutView="80" workbookViewId="0">
      <selection activeCell="C33" sqref="C33"/>
    </sheetView>
  </sheetViews>
  <sheetFormatPr defaultColWidth="9" defaultRowHeight="16.2"/>
  <cols>
    <col min="1" max="1" width="10.6640625" style="591" customWidth="1"/>
    <col min="2" max="2" width="8.6640625" style="591" customWidth="1"/>
    <col min="3" max="3" width="23.33203125" style="591" customWidth="1"/>
    <col min="4" max="4" width="10.77734375" style="591" customWidth="1"/>
    <col min="5" max="5" width="8.6640625" style="591" customWidth="1"/>
    <col min="6" max="6" width="11.109375" style="591" customWidth="1"/>
    <col min="7" max="7" width="8.77734375" style="591" customWidth="1"/>
    <col min="8" max="8" width="9.77734375" style="591" customWidth="1"/>
    <col min="9" max="9" width="8.77734375" style="591" customWidth="1"/>
    <col min="10" max="10" width="9.5546875" style="591" bestFit="1" customWidth="1"/>
    <col min="11" max="16384" width="9" style="591"/>
  </cols>
  <sheetData>
    <row r="1" spans="1:10" ht="24.6">
      <c r="A1" s="1005" t="s">
        <v>145</v>
      </c>
      <c r="B1" s="1006"/>
      <c r="C1" s="1006"/>
      <c r="D1" s="1006"/>
      <c r="E1" s="1006"/>
      <c r="F1" s="1006"/>
      <c r="G1" s="1006"/>
      <c r="H1" s="1006"/>
      <c r="I1" s="1006"/>
    </row>
    <row r="2" spans="1:10" ht="22.2">
      <c r="A2" s="1007" t="s">
        <v>146</v>
      </c>
      <c r="B2" s="1007"/>
      <c r="C2" s="1007"/>
      <c r="D2" s="1007"/>
      <c r="E2" s="1007"/>
      <c r="F2" s="1007"/>
      <c r="G2" s="1007"/>
      <c r="H2" s="1007"/>
      <c r="I2" s="1007"/>
    </row>
    <row r="3" spans="1:10" ht="22.2">
      <c r="A3" s="1008" t="s">
        <v>992</v>
      </c>
      <c r="B3" s="1008"/>
      <c r="C3" s="1008"/>
      <c r="D3" s="1008"/>
      <c r="E3" s="1008"/>
      <c r="F3" s="1008"/>
      <c r="G3" s="1008"/>
      <c r="H3" s="1008"/>
      <c r="I3" s="1008"/>
    </row>
    <row r="4" spans="1:10" s="592" customFormat="1" ht="19.8">
      <c r="A4" s="1009" t="s">
        <v>1025</v>
      </c>
      <c r="B4" s="1009"/>
      <c r="C4" s="1009"/>
      <c r="D4" s="1009"/>
      <c r="E4" s="1009"/>
      <c r="F4" s="1009"/>
      <c r="G4" s="1009"/>
      <c r="H4" s="1009"/>
      <c r="I4" s="1009"/>
    </row>
    <row r="5" spans="1:10" s="592" customFormat="1" ht="16.8" thickBot="1">
      <c r="C5" s="593"/>
      <c r="D5" s="593"/>
      <c r="E5" s="593"/>
      <c r="F5" s="593"/>
      <c r="G5" s="593"/>
      <c r="I5" s="594" t="s">
        <v>641</v>
      </c>
    </row>
    <row r="6" spans="1:10" s="595" customFormat="1" ht="22.05" customHeight="1">
      <c r="A6" s="1010" t="s">
        <v>975</v>
      </c>
      <c r="B6" s="1011"/>
      <c r="C6" s="1015" t="s">
        <v>406</v>
      </c>
      <c r="D6" s="1014" t="s">
        <v>150</v>
      </c>
      <c r="E6" s="1011"/>
      <c r="F6" s="1014" t="s">
        <v>62</v>
      </c>
      <c r="G6" s="1011"/>
      <c r="H6" s="1012" t="s">
        <v>407</v>
      </c>
      <c r="I6" s="1013"/>
    </row>
    <row r="7" spans="1:10" s="595" customFormat="1" ht="22.05" customHeight="1">
      <c r="A7" s="596" t="s">
        <v>408</v>
      </c>
      <c r="B7" s="597" t="s">
        <v>409</v>
      </c>
      <c r="C7" s="1016"/>
      <c r="D7" s="597" t="s">
        <v>408</v>
      </c>
      <c r="E7" s="597" t="s">
        <v>409</v>
      </c>
      <c r="F7" s="597" t="s">
        <v>408</v>
      </c>
      <c r="G7" s="597" t="s">
        <v>409</v>
      </c>
      <c r="H7" s="597" t="s">
        <v>408</v>
      </c>
      <c r="I7" s="598" t="s">
        <v>409</v>
      </c>
    </row>
    <row r="8" spans="1:10" s="599" customFormat="1" ht="25.05" customHeight="1">
      <c r="A8" s="477">
        <f>SUM(A9,A11)</f>
        <v>608153</v>
      </c>
      <c r="B8" s="331">
        <f t="shared" ref="B8:B26" si="0">A8/$A$8*100</f>
        <v>100</v>
      </c>
      <c r="C8" s="332" t="s">
        <v>410</v>
      </c>
      <c r="D8" s="333">
        <f>SUM(D9,D11)</f>
        <v>639908</v>
      </c>
      <c r="E8" s="331">
        <f t="shared" ref="E8:E33" si="1">D8/$D$8*100</f>
        <v>100</v>
      </c>
      <c r="F8" s="333">
        <f>SUM(F9,F11)</f>
        <v>620324</v>
      </c>
      <c r="G8" s="331">
        <f>F8/$F$8*100</f>
        <v>100</v>
      </c>
      <c r="H8" s="352">
        <f>D8-F8</f>
        <v>19584</v>
      </c>
      <c r="I8" s="354">
        <f>H8/F8*100</f>
        <v>3.1570598590414041</v>
      </c>
      <c r="J8" s="854">
        <f>D8-A8</f>
        <v>31755</v>
      </c>
    </row>
    <row r="9" spans="1:10" s="600" customFormat="1" ht="25.05" customHeight="1">
      <c r="A9" s="478">
        <f>SUM(A10:A10)</f>
        <v>606892</v>
      </c>
      <c r="B9" s="334">
        <f t="shared" si="0"/>
        <v>99.792650862529669</v>
      </c>
      <c r="C9" s="335" t="s">
        <v>411</v>
      </c>
      <c r="D9" s="336">
        <f>SUM(D10:D10)</f>
        <v>638809</v>
      </c>
      <c r="E9" s="334">
        <f>D9/$D$8*100</f>
        <v>99.828256561880764</v>
      </c>
      <c r="F9" s="336">
        <f>SUM(F10:F10)</f>
        <v>619225</v>
      </c>
      <c r="G9" s="334">
        <f t="shared" ref="G9:G33" si="2">F9/$F$8*100</f>
        <v>99.822834518735377</v>
      </c>
      <c r="H9" s="337">
        <f>D9-F9</f>
        <v>19584</v>
      </c>
      <c r="I9" s="355">
        <f t="shared" ref="I9:I32" si="3">H9/F9*100</f>
        <v>3.1626630061770764</v>
      </c>
      <c r="J9" s="855">
        <f t="shared" ref="J9:J32" si="4">D9-A9</f>
        <v>31917</v>
      </c>
    </row>
    <row r="10" spans="1:10" s="600" customFormat="1" ht="25.05" customHeight="1">
      <c r="A10" s="478">
        <v>606892</v>
      </c>
      <c r="B10" s="334">
        <f t="shared" si="0"/>
        <v>99.792650862529669</v>
      </c>
      <c r="C10" s="886" t="s">
        <v>1043</v>
      </c>
      <c r="D10" s="336">
        <v>638809</v>
      </c>
      <c r="E10" s="334">
        <f t="shared" si="1"/>
        <v>99.828256561880764</v>
      </c>
      <c r="F10" s="336">
        <v>619225</v>
      </c>
      <c r="G10" s="334">
        <f t="shared" si="2"/>
        <v>99.822834518735377</v>
      </c>
      <c r="H10" s="337">
        <f t="shared" ref="H10:H33" si="5">D10-F10</f>
        <v>19584</v>
      </c>
      <c r="I10" s="355">
        <f t="shared" si="3"/>
        <v>3.1626630061770764</v>
      </c>
      <c r="J10" s="855">
        <f t="shared" si="4"/>
        <v>31917</v>
      </c>
    </row>
    <row r="11" spans="1:10" s="600" customFormat="1" ht="25.05" customHeight="1">
      <c r="A11" s="478">
        <f>A12+A13</f>
        <v>1261</v>
      </c>
      <c r="B11" s="334">
        <f t="shared" si="0"/>
        <v>0.20734913747034053</v>
      </c>
      <c r="C11" s="338" t="s">
        <v>412</v>
      </c>
      <c r="D11" s="336">
        <f>SUM(D13:D13)</f>
        <v>1099</v>
      </c>
      <c r="E11" s="334">
        <f t="shared" si="1"/>
        <v>0.17174343811922962</v>
      </c>
      <c r="F11" s="336">
        <f>SUM(F13:F13)</f>
        <v>1099</v>
      </c>
      <c r="G11" s="334">
        <f t="shared" si="2"/>
        <v>0.17716548126462944</v>
      </c>
      <c r="H11" s="337">
        <f t="shared" si="5"/>
        <v>0</v>
      </c>
      <c r="I11" s="355">
        <f t="shared" si="3"/>
        <v>0</v>
      </c>
      <c r="J11" s="600">
        <f t="shared" si="4"/>
        <v>-162</v>
      </c>
    </row>
    <row r="12" spans="1:10" s="600" customFormat="1" ht="25.05" customHeight="1">
      <c r="A12" s="478">
        <v>465</v>
      </c>
      <c r="B12" s="334">
        <f t="shared" ref="B12:B13" si="6">A12/$A$8*100</f>
        <v>7.6461022144098612E-2</v>
      </c>
      <c r="C12" s="887" t="s">
        <v>1044</v>
      </c>
      <c r="D12" s="336">
        <v>0</v>
      </c>
      <c r="E12" s="336">
        <f t="shared" si="1"/>
        <v>0</v>
      </c>
      <c r="F12" s="336">
        <v>0</v>
      </c>
      <c r="G12" s="336">
        <f t="shared" si="2"/>
        <v>0</v>
      </c>
      <c r="H12" s="337">
        <v>0</v>
      </c>
      <c r="I12" s="355">
        <v>0</v>
      </c>
      <c r="J12" s="600">
        <f t="shared" si="4"/>
        <v>-465</v>
      </c>
    </row>
    <row r="13" spans="1:10" s="600" customFormat="1" ht="25.05" customHeight="1">
      <c r="A13" s="478">
        <v>796</v>
      </c>
      <c r="B13" s="874">
        <f t="shared" si="6"/>
        <v>0.13088811532624192</v>
      </c>
      <c r="C13" s="887" t="s">
        <v>1045</v>
      </c>
      <c r="D13" s="336">
        <v>1099</v>
      </c>
      <c r="E13" s="334">
        <f t="shared" si="1"/>
        <v>0.17174343811922962</v>
      </c>
      <c r="F13" s="336">
        <v>1099</v>
      </c>
      <c r="G13" s="334">
        <f t="shared" si="2"/>
        <v>0.17716548126462944</v>
      </c>
      <c r="H13" s="337">
        <f t="shared" si="5"/>
        <v>0</v>
      </c>
      <c r="I13" s="355">
        <f t="shared" si="3"/>
        <v>0</v>
      </c>
      <c r="J13" s="600">
        <f t="shared" si="4"/>
        <v>303</v>
      </c>
    </row>
    <row r="14" spans="1:10" s="599" customFormat="1" ht="25.05" customHeight="1">
      <c r="A14" s="479">
        <f>SUM(A15,A17)</f>
        <v>561307</v>
      </c>
      <c r="B14" s="339">
        <f t="shared" si="0"/>
        <v>92.297004207822695</v>
      </c>
      <c r="C14" s="340" t="s">
        <v>690</v>
      </c>
      <c r="D14" s="341">
        <f>SUM(D15,D17)</f>
        <v>629849</v>
      </c>
      <c r="E14" s="339">
        <f t="shared" si="1"/>
        <v>98.428055282946929</v>
      </c>
      <c r="F14" s="341">
        <f>SUM(F15,F17)</f>
        <v>614242</v>
      </c>
      <c r="G14" s="339">
        <f t="shared" si="2"/>
        <v>99.019544625066899</v>
      </c>
      <c r="H14" s="341">
        <f t="shared" si="5"/>
        <v>15607</v>
      </c>
      <c r="I14" s="356">
        <f t="shared" si="3"/>
        <v>2.540855232953787</v>
      </c>
      <c r="J14" s="854">
        <f t="shared" si="4"/>
        <v>68542</v>
      </c>
    </row>
    <row r="15" spans="1:10" s="600" customFormat="1" ht="25.05" customHeight="1">
      <c r="A15" s="478">
        <f>SUM(A16:A16)</f>
        <v>561075</v>
      </c>
      <c r="B15" s="334">
        <f t="shared" si="0"/>
        <v>92.258855912903499</v>
      </c>
      <c r="C15" s="888" t="s">
        <v>1049</v>
      </c>
      <c r="D15" s="336">
        <f>SUM(D16:D16)</f>
        <v>628750</v>
      </c>
      <c r="E15" s="334">
        <f t="shared" si="1"/>
        <v>98.256311844827692</v>
      </c>
      <c r="F15" s="336">
        <f>SUM(F16:F16)</f>
        <v>613143</v>
      </c>
      <c r="G15" s="334">
        <f t="shared" si="2"/>
        <v>98.842379143802276</v>
      </c>
      <c r="H15" s="336">
        <f>D15-F15</f>
        <v>15607</v>
      </c>
      <c r="I15" s="355">
        <f t="shared" si="3"/>
        <v>2.5454094721785947</v>
      </c>
      <c r="J15" s="855">
        <f t="shared" si="4"/>
        <v>67675</v>
      </c>
    </row>
    <row r="16" spans="1:10" s="600" customFormat="1" ht="25.05" customHeight="1">
      <c r="A16" s="478">
        <v>561075</v>
      </c>
      <c r="B16" s="334">
        <f t="shared" si="0"/>
        <v>92.258855912903499</v>
      </c>
      <c r="C16" s="886" t="s">
        <v>1046</v>
      </c>
      <c r="D16" s="336">
        <f>632710-3960</f>
        <v>628750</v>
      </c>
      <c r="E16" s="334">
        <f t="shared" si="1"/>
        <v>98.256311844827692</v>
      </c>
      <c r="F16" s="336">
        <v>613143</v>
      </c>
      <c r="G16" s="334">
        <f t="shared" si="2"/>
        <v>98.842379143802276</v>
      </c>
      <c r="H16" s="336">
        <f t="shared" si="5"/>
        <v>15607</v>
      </c>
      <c r="I16" s="355">
        <f>H16/F16*100</f>
        <v>2.5454094721785947</v>
      </c>
      <c r="J16" s="855">
        <f t="shared" si="4"/>
        <v>67675</v>
      </c>
    </row>
    <row r="17" spans="1:10" s="600" customFormat="1" ht="25.05" customHeight="1">
      <c r="A17" s="478">
        <f>SUM(A18:A18)</f>
        <v>232</v>
      </c>
      <c r="B17" s="874">
        <f t="shared" si="0"/>
        <v>3.8148294919206183E-2</v>
      </c>
      <c r="C17" s="335" t="s">
        <v>413</v>
      </c>
      <c r="D17" s="336">
        <f>SUM(D18:D18)</f>
        <v>1099</v>
      </c>
      <c r="E17" s="334">
        <f t="shared" si="1"/>
        <v>0.17174343811922962</v>
      </c>
      <c r="F17" s="336">
        <f>SUM(F18:F18)</f>
        <v>1099</v>
      </c>
      <c r="G17" s="334">
        <f t="shared" si="2"/>
        <v>0.17716548126462944</v>
      </c>
      <c r="H17" s="336">
        <f>D17-F17</f>
        <v>0</v>
      </c>
      <c r="I17" s="355">
        <f t="shared" si="3"/>
        <v>0</v>
      </c>
      <c r="J17" s="855">
        <f t="shared" si="4"/>
        <v>867</v>
      </c>
    </row>
    <row r="18" spans="1:10" s="600" customFormat="1" ht="25.05" customHeight="1">
      <c r="A18" s="478">
        <v>232</v>
      </c>
      <c r="B18" s="874">
        <f t="shared" si="0"/>
        <v>3.8148294919206183E-2</v>
      </c>
      <c r="C18" s="886" t="s">
        <v>1047</v>
      </c>
      <c r="D18" s="336">
        <f>'26.其他業務成本明細 (6級)'!E9</f>
        <v>1099</v>
      </c>
      <c r="E18" s="334">
        <f t="shared" si="1"/>
        <v>0.17174343811922962</v>
      </c>
      <c r="F18" s="336">
        <v>1099</v>
      </c>
      <c r="G18" s="334">
        <f t="shared" si="2"/>
        <v>0.17716548126462944</v>
      </c>
      <c r="H18" s="336">
        <f t="shared" si="5"/>
        <v>0</v>
      </c>
      <c r="I18" s="355">
        <f t="shared" si="3"/>
        <v>0</v>
      </c>
      <c r="J18" s="855">
        <f t="shared" si="4"/>
        <v>867</v>
      </c>
    </row>
    <row r="19" spans="1:10" s="600" customFormat="1" ht="25.05" customHeight="1">
      <c r="A19" s="480">
        <f>A8-A14-1</f>
        <v>46845</v>
      </c>
      <c r="B19" s="339">
        <f t="shared" si="0"/>
        <v>7.7028313598716123</v>
      </c>
      <c r="C19" s="340" t="s">
        <v>706</v>
      </c>
      <c r="D19" s="342">
        <f>D8-D14</f>
        <v>10059</v>
      </c>
      <c r="E19" s="339">
        <f t="shared" si="1"/>
        <v>1.5719447170530765</v>
      </c>
      <c r="F19" s="342">
        <f>F8-F14</f>
        <v>6082</v>
      </c>
      <c r="G19" s="339">
        <f t="shared" si="2"/>
        <v>0.98045537493309953</v>
      </c>
      <c r="H19" s="353">
        <f t="shared" si="5"/>
        <v>3977</v>
      </c>
      <c r="I19" s="356">
        <f>H19/F19*100</f>
        <v>65.389674449194345</v>
      </c>
      <c r="J19" s="854">
        <f t="shared" si="4"/>
        <v>-36786</v>
      </c>
    </row>
    <row r="20" spans="1:10" s="599" customFormat="1" ht="25.05" customHeight="1">
      <c r="A20" s="479">
        <f>A21+A23</f>
        <v>3190</v>
      </c>
      <c r="B20" s="339">
        <f>A20/$A$8*100</f>
        <v>0.52453905513908505</v>
      </c>
      <c r="C20" s="340" t="s">
        <v>414</v>
      </c>
      <c r="D20" s="341">
        <f>D21+D23</f>
        <v>3700</v>
      </c>
      <c r="E20" s="339">
        <f t="shared" si="1"/>
        <v>0.57820811741687872</v>
      </c>
      <c r="F20" s="341">
        <f>F21+F23</f>
        <v>3800</v>
      </c>
      <c r="G20" s="339">
        <f t="shared" si="2"/>
        <v>0.6125831017339326</v>
      </c>
      <c r="H20" s="353">
        <f t="shared" si="5"/>
        <v>-100</v>
      </c>
      <c r="I20" s="356">
        <f t="shared" si="3"/>
        <v>-2.6315789473684208</v>
      </c>
      <c r="J20" s="854">
        <f t="shared" si="4"/>
        <v>510</v>
      </c>
    </row>
    <row r="21" spans="1:10" s="599" customFormat="1" ht="25.05" customHeight="1">
      <c r="A21" s="478">
        <f>A22</f>
        <v>1948</v>
      </c>
      <c r="B21" s="334">
        <f t="shared" si="0"/>
        <v>0.320314131476783</v>
      </c>
      <c r="C21" s="335" t="s">
        <v>416</v>
      </c>
      <c r="D21" s="336">
        <f>SUM(D22)</f>
        <v>1700</v>
      </c>
      <c r="E21" s="334">
        <f t="shared" si="1"/>
        <v>0.26566318908343073</v>
      </c>
      <c r="F21" s="336">
        <f>SUM(F22)</f>
        <v>1800</v>
      </c>
      <c r="G21" s="334">
        <f>F21/$F$8*100</f>
        <v>0.29017094292659967</v>
      </c>
      <c r="H21" s="337">
        <f t="shared" si="5"/>
        <v>-100</v>
      </c>
      <c r="I21" s="355">
        <f>H21/F21*100</f>
        <v>-5.5555555555555554</v>
      </c>
      <c r="J21" s="855">
        <f t="shared" si="4"/>
        <v>-248</v>
      </c>
    </row>
    <row r="22" spans="1:10" s="599" customFormat="1" ht="25.05" customHeight="1">
      <c r="A22" s="478">
        <v>1948</v>
      </c>
      <c r="B22" s="334">
        <f t="shared" si="0"/>
        <v>0.320314131476783</v>
      </c>
      <c r="C22" s="335" t="s">
        <v>417</v>
      </c>
      <c r="D22" s="336">
        <v>1700</v>
      </c>
      <c r="E22" s="334">
        <f t="shared" si="1"/>
        <v>0.26566318908343073</v>
      </c>
      <c r="F22" s="336">
        <v>1800</v>
      </c>
      <c r="G22" s="334">
        <f t="shared" si="2"/>
        <v>0.29017094292659967</v>
      </c>
      <c r="H22" s="337">
        <f t="shared" si="5"/>
        <v>-100</v>
      </c>
      <c r="I22" s="355">
        <f t="shared" si="3"/>
        <v>-5.5555555555555554</v>
      </c>
      <c r="J22" s="855">
        <f t="shared" si="4"/>
        <v>-248</v>
      </c>
    </row>
    <row r="23" spans="1:10" s="599" customFormat="1" ht="25.05" customHeight="1">
      <c r="A23" s="478">
        <f>SUM(A24:A27)</f>
        <v>1242</v>
      </c>
      <c r="B23" s="334">
        <f t="shared" si="0"/>
        <v>0.2042249236623021</v>
      </c>
      <c r="C23" s="335" t="s">
        <v>418</v>
      </c>
      <c r="D23" s="336">
        <f>SUM(D24:D27)</f>
        <v>2000</v>
      </c>
      <c r="E23" s="334">
        <f>D23/$D$8*100</f>
        <v>0.31254492833344794</v>
      </c>
      <c r="F23" s="336">
        <f>SUM(F24:F27)</f>
        <v>2000</v>
      </c>
      <c r="G23" s="334">
        <f t="shared" si="2"/>
        <v>0.32241215880733298</v>
      </c>
      <c r="H23" s="336">
        <f>SUM(H24:H27)</f>
        <v>0</v>
      </c>
      <c r="I23" s="355">
        <f t="shared" si="3"/>
        <v>0</v>
      </c>
      <c r="J23" s="855">
        <f t="shared" si="4"/>
        <v>758</v>
      </c>
    </row>
    <row r="24" spans="1:10" s="599" customFormat="1" ht="25.05" hidden="1" customHeight="1">
      <c r="A24" s="478">
        <v>0</v>
      </c>
      <c r="B24" s="334">
        <f t="shared" si="0"/>
        <v>0</v>
      </c>
      <c r="C24" s="335" t="s">
        <v>419</v>
      </c>
      <c r="D24" s="336">
        <v>0</v>
      </c>
      <c r="E24" s="336">
        <f>D24/$D$8*100</f>
        <v>0</v>
      </c>
      <c r="F24" s="336">
        <v>0</v>
      </c>
      <c r="G24" s="769">
        <f t="shared" si="2"/>
        <v>0</v>
      </c>
      <c r="H24" s="768">
        <f t="shared" si="5"/>
        <v>0</v>
      </c>
      <c r="I24" s="355">
        <v>0</v>
      </c>
      <c r="J24" s="855">
        <f t="shared" si="4"/>
        <v>0</v>
      </c>
    </row>
    <row r="25" spans="1:10" s="599" customFormat="1" ht="25.05" customHeight="1">
      <c r="A25" s="478">
        <v>113</v>
      </c>
      <c r="B25" s="334">
        <f>A25/$A$8*100</f>
        <v>1.8580850542544394E-2</v>
      </c>
      <c r="C25" s="886" t="s">
        <v>1041</v>
      </c>
      <c r="D25" s="336">
        <v>0</v>
      </c>
      <c r="E25" s="336">
        <f>D25/$D$8*100</f>
        <v>0</v>
      </c>
      <c r="F25" s="336">
        <v>0</v>
      </c>
      <c r="G25" s="769">
        <f>F25/$F$8*100</f>
        <v>0</v>
      </c>
      <c r="H25" s="768">
        <f>D25-F25</f>
        <v>0</v>
      </c>
      <c r="I25" s="355">
        <v>0</v>
      </c>
      <c r="J25" s="600">
        <f>D25-A25</f>
        <v>-113</v>
      </c>
    </row>
    <row r="26" spans="1:10" s="599" customFormat="1" ht="25.05" customHeight="1">
      <c r="A26" s="478">
        <v>3</v>
      </c>
      <c r="B26" s="334">
        <f t="shared" si="0"/>
        <v>4.9329691705870073E-4</v>
      </c>
      <c r="C26" s="886" t="s">
        <v>1040</v>
      </c>
      <c r="D26" s="336">
        <v>0</v>
      </c>
      <c r="E26" s="336">
        <f>D26/$D$8*100</f>
        <v>0</v>
      </c>
      <c r="F26" s="336">
        <v>0</v>
      </c>
      <c r="G26" s="769">
        <f>F26/$F$8*100</f>
        <v>0</v>
      </c>
      <c r="H26" s="768">
        <f>D26-F26</f>
        <v>0</v>
      </c>
      <c r="I26" s="355">
        <v>0</v>
      </c>
      <c r="J26" s="600">
        <f t="shared" si="4"/>
        <v>-3</v>
      </c>
    </row>
    <row r="27" spans="1:10" s="599" customFormat="1" ht="25.05" customHeight="1">
      <c r="A27" s="478">
        <v>1126</v>
      </c>
      <c r="B27" s="334">
        <f t="shared" ref="B27:B33" si="7">A27/$A$8*100</f>
        <v>0.18515077620269899</v>
      </c>
      <c r="C27" s="886" t="s">
        <v>1042</v>
      </c>
      <c r="D27" s="336">
        <f>'22.其他業務外收入明細'!C9</f>
        <v>2000</v>
      </c>
      <c r="E27" s="334">
        <f t="shared" si="1"/>
        <v>0.31254492833344794</v>
      </c>
      <c r="F27" s="336">
        <v>2000</v>
      </c>
      <c r="G27" s="334">
        <f t="shared" si="2"/>
        <v>0.32241215880733298</v>
      </c>
      <c r="H27" s="336">
        <f t="shared" si="5"/>
        <v>0</v>
      </c>
      <c r="I27" s="355">
        <f t="shared" si="3"/>
        <v>0</v>
      </c>
      <c r="J27" s="855">
        <f t="shared" si="4"/>
        <v>874</v>
      </c>
    </row>
    <row r="28" spans="1:10" s="599" customFormat="1" ht="25.05" customHeight="1">
      <c r="A28" s="479">
        <f>A29</f>
        <v>59</v>
      </c>
      <c r="B28" s="339">
        <f t="shared" si="7"/>
        <v>9.7015060354877797E-3</v>
      </c>
      <c r="C28" s="340" t="s">
        <v>415</v>
      </c>
      <c r="D28" s="341">
        <f>D29</f>
        <v>60</v>
      </c>
      <c r="E28" s="339">
        <f t="shared" si="1"/>
        <v>9.3763478500034393E-3</v>
      </c>
      <c r="F28" s="341">
        <f>F29</f>
        <v>50</v>
      </c>
      <c r="G28" s="339">
        <f t="shared" si="2"/>
        <v>8.0603039701833239E-3</v>
      </c>
      <c r="H28" s="341">
        <f t="shared" si="5"/>
        <v>10</v>
      </c>
      <c r="I28" s="356">
        <f>H28/F28*100</f>
        <v>20</v>
      </c>
      <c r="J28" s="854">
        <f t="shared" si="4"/>
        <v>1</v>
      </c>
    </row>
    <row r="29" spans="1:10" s="599" customFormat="1" ht="25.05" customHeight="1">
      <c r="A29" s="478">
        <f>A30</f>
        <v>59</v>
      </c>
      <c r="B29" s="334">
        <f t="shared" si="7"/>
        <v>9.7015060354877797E-3</v>
      </c>
      <c r="C29" s="335" t="s">
        <v>420</v>
      </c>
      <c r="D29" s="336">
        <f>D30</f>
        <v>60</v>
      </c>
      <c r="E29" s="334">
        <f>D29/$D$8*100</f>
        <v>9.3763478500034393E-3</v>
      </c>
      <c r="F29" s="336">
        <f>F30</f>
        <v>50</v>
      </c>
      <c r="G29" s="334">
        <f t="shared" si="2"/>
        <v>8.0603039701833239E-3</v>
      </c>
      <c r="H29" s="336">
        <f t="shared" si="5"/>
        <v>10</v>
      </c>
      <c r="I29" s="355">
        <f t="shared" si="3"/>
        <v>20</v>
      </c>
      <c r="J29" s="855">
        <f t="shared" si="4"/>
        <v>1</v>
      </c>
    </row>
    <row r="30" spans="1:10" s="599" customFormat="1" ht="25.05" customHeight="1">
      <c r="A30" s="478">
        <v>59</v>
      </c>
      <c r="B30" s="334">
        <f t="shared" si="7"/>
        <v>9.7015060354877797E-3</v>
      </c>
      <c r="C30" s="886" t="s">
        <v>1048</v>
      </c>
      <c r="D30" s="336">
        <v>60</v>
      </c>
      <c r="E30" s="334">
        <f t="shared" si="1"/>
        <v>9.3763478500034393E-3</v>
      </c>
      <c r="F30" s="336">
        <v>50</v>
      </c>
      <c r="G30" s="334">
        <f t="shared" si="2"/>
        <v>8.0603039701833239E-3</v>
      </c>
      <c r="H30" s="336">
        <f t="shared" si="5"/>
        <v>10</v>
      </c>
      <c r="I30" s="355">
        <f t="shared" si="3"/>
        <v>20</v>
      </c>
      <c r="J30" s="855">
        <f t="shared" si="4"/>
        <v>1</v>
      </c>
    </row>
    <row r="31" spans="1:10" s="599" customFormat="1" ht="25.05" customHeight="1">
      <c r="A31" s="479">
        <f>A20-A28</f>
        <v>3131</v>
      </c>
      <c r="B31" s="339">
        <f t="shared" si="7"/>
        <v>0.51483754910359725</v>
      </c>
      <c r="C31" s="340" t="s">
        <v>705</v>
      </c>
      <c r="D31" s="341">
        <f>D20-D28</f>
        <v>3640</v>
      </c>
      <c r="E31" s="339">
        <f t="shared" si="1"/>
        <v>0.56883176956687531</v>
      </c>
      <c r="F31" s="341">
        <f>F20-F28</f>
        <v>3750</v>
      </c>
      <c r="G31" s="339">
        <f t="shared" si="2"/>
        <v>0.60452279776374929</v>
      </c>
      <c r="H31" s="353">
        <f t="shared" si="5"/>
        <v>-110</v>
      </c>
      <c r="I31" s="356">
        <f t="shared" si="3"/>
        <v>-2.9333333333333331</v>
      </c>
      <c r="J31" s="599">
        <f t="shared" si="4"/>
        <v>509</v>
      </c>
    </row>
    <row r="32" spans="1:10" s="599" customFormat="1" ht="25.05" customHeight="1">
      <c r="A32" s="480">
        <f>A19+A31</f>
        <v>49976</v>
      </c>
      <c r="B32" s="339">
        <f t="shared" si="7"/>
        <v>8.2176689089752095</v>
      </c>
      <c r="C32" s="340" t="s">
        <v>707</v>
      </c>
      <c r="D32" s="342">
        <f>D19+D31</f>
        <v>13699</v>
      </c>
      <c r="E32" s="339">
        <f t="shared" si="1"/>
        <v>2.1407764866199517</v>
      </c>
      <c r="F32" s="342">
        <f>F19+F31</f>
        <v>9832</v>
      </c>
      <c r="G32" s="339">
        <f t="shared" si="2"/>
        <v>1.5849781726968488</v>
      </c>
      <c r="H32" s="353">
        <f t="shared" si="5"/>
        <v>3867</v>
      </c>
      <c r="I32" s="356">
        <f t="shared" si="3"/>
        <v>39.330756712774608</v>
      </c>
      <c r="J32" s="599">
        <f t="shared" si="4"/>
        <v>-36277</v>
      </c>
    </row>
    <row r="33" spans="1:9" s="599" customFormat="1" ht="25.05" customHeight="1">
      <c r="A33" s="875">
        <v>0</v>
      </c>
      <c r="B33" s="336">
        <f t="shared" si="7"/>
        <v>0</v>
      </c>
      <c r="C33" s="340" t="s">
        <v>1028</v>
      </c>
      <c r="D33" s="353">
        <v>0</v>
      </c>
      <c r="E33" s="336">
        <f t="shared" si="1"/>
        <v>0</v>
      </c>
      <c r="F33" s="353">
        <v>0</v>
      </c>
      <c r="G33" s="336">
        <f t="shared" si="2"/>
        <v>0</v>
      </c>
      <c r="H33" s="353">
        <f t="shared" si="5"/>
        <v>0</v>
      </c>
      <c r="I33" s="889">
        <v>0</v>
      </c>
    </row>
    <row r="34" spans="1:9" s="599" customFormat="1" ht="9.6" customHeight="1">
      <c r="A34" s="480"/>
      <c r="B34" s="339"/>
      <c r="C34" s="340"/>
      <c r="D34" s="342"/>
      <c r="E34" s="339"/>
      <c r="F34" s="342"/>
      <c r="G34" s="339"/>
      <c r="H34" s="353"/>
      <c r="I34" s="356"/>
    </row>
    <row r="35" spans="1:9" s="600" customFormat="1" ht="12" customHeight="1" thickBot="1">
      <c r="A35" s="601"/>
      <c r="B35" s="602"/>
      <c r="C35" s="603"/>
      <c r="D35" s="602"/>
      <c r="E35" s="602"/>
      <c r="F35" s="602"/>
      <c r="G35" s="602"/>
      <c r="H35" s="602"/>
      <c r="I35" s="604"/>
    </row>
    <row r="36" spans="1:9" ht="31.2" customHeight="1">
      <c r="A36" s="1001" t="s">
        <v>1136</v>
      </c>
      <c r="B36" s="1002"/>
      <c r="C36" s="1002"/>
      <c r="D36" s="1002"/>
      <c r="E36" s="1002"/>
      <c r="F36" s="1002"/>
      <c r="G36" s="1002"/>
      <c r="H36" s="1002"/>
      <c r="I36" s="1002"/>
    </row>
    <row r="37" spans="1:9">
      <c r="A37" s="1003" t="s">
        <v>990</v>
      </c>
      <c r="B37" s="1004"/>
      <c r="C37" s="1004"/>
      <c r="D37" s="1004"/>
      <c r="E37" s="1004"/>
      <c r="F37" s="1004"/>
      <c r="G37" s="1004"/>
      <c r="H37" s="1004"/>
      <c r="I37" s="1004"/>
    </row>
    <row r="38" spans="1:9">
      <c r="A38" s="605"/>
    </row>
  </sheetData>
  <mergeCells count="11">
    <mergeCell ref="A36:I36"/>
    <mergeCell ref="A37:I37"/>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47244094488188981" top="0.59055118110236227" bottom="0.78740157480314965" header="0.47244094488188981" footer="0.51181102362204722"/>
  <pageSetup paperSize="9" scale="90" firstPageNumber="15" orientation="portrait" useFirstPageNumber="1" errors="dash" r:id="rId1"/>
  <headerFooter scaleWithDoc="0" alignWithMargins="0">
    <oddFooter>&amp;C&amp;"Arial Unicode MS,標準"&amp;P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53</vt:i4>
      </vt:variant>
      <vt:variant>
        <vt:lpstr>已命名的範圍</vt:lpstr>
      </vt:variant>
      <vt:variant>
        <vt:i4>37</vt:i4>
      </vt:variant>
    </vt:vector>
  </HeadingPairs>
  <TitlesOfParts>
    <vt:vector size="90" baseType="lpstr">
      <vt:lpstr>目次-</vt:lpstr>
      <vt:lpstr>隔頁-(業務計畫及預算說明)</vt:lpstr>
      <vt:lpstr>10.圖1</vt:lpstr>
      <vt:lpstr>11.圖2</vt:lpstr>
      <vt:lpstr>12.圖3</vt:lpstr>
      <vt:lpstr>13.圖4</vt:lpstr>
      <vt:lpstr>14.圖5</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23.勞務成本明細6級</vt:lpstr>
      <vt:lpstr>21-22.勞務成本明細7級</vt:lpstr>
      <vt:lpstr>26.其他業務成本明細 (6級)</vt:lpstr>
      <vt:lpstr>23.其他業務成本明細7級(X)</vt:lpstr>
      <vt:lpstr>28.其他業務外費用明細6級</vt:lpstr>
      <vt:lpstr>24.其他業務外費用明細7級(X) </vt:lpstr>
      <vt:lpstr>30.固定資產建改擴明細表</vt:lpstr>
      <vt:lpstr>31.固定資產資金來源明細表</vt:lpstr>
      <vt:lpstr>32-33.固定資產計畫進度明細表</vt:lpstr>
      <vt:lpstr>34.資產折舊明細表</vt:lpstr>
      <vt:lpstr>30.資產折舊明細表 (2)</vt:lpstr>
      <vt:lpstr>35.基金數額增減明細表</vt:lpstr>
      <vt:lpstr>31.基金數額增減明細表 (2)</vt:lpstr>
      <vt:lpstr>36.隔頁 (空白30)</vt:lpstr>
      <vt:lpstr>32.隔頁 (空白32)</vt:lpstr>
      <vt:lpstr>隔頁 (參考表)</vt:lpstr>
      <vt:lpstr>33.隔頁 (空白33)</vt:lpstr>
      <vt:lpstr>34-35.預計平衡表 (2)</vt:lpstr>
      <vt:lpstr>37.預計平衡表</vt:lpstr>
      <vt:lpstr>36.預計平衡表 (4級)</vt:lpstr>
      <vt:lpstr>38.營運項目分析表</vt:lpstr>
      <vt:lpstr>36.營運項目分析表 (2)</vt:lpstr>
      <vt:lpstr>39.員工人數彙計表(1)</vt:lpstr>
      <vt:lpstr>37.員工人數彙計表(2)</vt:lpstr>
      <vt:lpstr>40-41.用人費用彙計表</vt:lpstr>
      <vt:lpstr>38-39.用人費用彙計表(2)</vt:lpstr>
      <vt:lpstr>42.各項費用彙計表(6級)</vt:lpstr>
      <vt:lpstr>40-41.各項費用彙計表(7級) </vt:lpstr>
      <vt:lpstr>43.隔頁 (空白43)</vt:lpstr>
      <vt:lpstr>附錄</vt:lpstr>
      <vt:lpstr>44.隔頁 (空白))</vt:lpstr>
      <vt:lpstr>100設備分年性項目明細表(X)</vt:lpstr>
      <vt:lpstr>.100設備分年性項目明細表(X)</vt:lpstr>
      <vt:lpstr>封底 </vt:lpstr>
      <vt:lpstr>明細表</vt:lpstr>
      <vt:lpstr>Sheet1</vt:lpstr>
      <vt:lpstr>'10.圖1'!Print_Area</vt:lpstr>
      <vt:lpstr>'11.圖2'!Print_Area</vt:lpstr>
      <vt:lpstr>'12.圖3'!Print_Area</vt:lpstr>
      <vt:lpstr>'13.圖4'!Print_Area</vt:lpstr>
      <vt:lpstr>'14.圖5'!Print_Area</vt:lpstr>
      <vt:lpstr>'15.收支預計表'!Print_Area</vt:lpstr>
      <vt:lpstr>'17.撥補表'!Print_Area</vt:lpstr>
      <vt:lpstr>'18.現金流量表 '!Print_Area</vt:lpstr>
      <vt:lpstr>'19.勞務收入明細'!Print_Area</vt:lpstr>
      <vt:lpstr>'20.其他業務收入'!Print_Area</vt:lpstr>
      <vt:lpstr>'21.財務收入明細 利息'!Print_Area</vt:lpstr>
      <vt:lpstr>'21-22.勞務成本明細7級'!Print_Area</vt:lpstr>
      <vt:lpstr>'22.其他業務外收入明細'!Print_Area</vt:lpstr>
      <vt:lpstr>'23.其他業務成本明細7級(X)'!Print_Area</vt:lpstr>
      <vt:lpstr>'24.其他業務外費用明細7級(X) '!Print_Area</vt:lpstr>
      <vt:lpstr>'26.其他業務成本明細 (6級)'!Print_Area</vt:lpstr>
      <vt:lpstr>'28.其他業務外費用明細6級'!Print_Area</vt:lpstr>
      <vt:lpstr>'32-33.固定資產計畫進度明細表'!Print_Area</vt:lpstr>
      <vt:lpstr>'34-35.預計平衡表 (2)'!Print_Area</vt:lpstr>
      <vt:lpstr>'36.預計平衡表 (4級)'!Print_Area</vt:lpstr>
      <vt:lpstr>'37.預計平衡表'!Print_Area</vt:lpstr>
      <vt:lpstr>'40-41.各項費用彙計表(7級) '!Print_Area</vt:lpstr>
      <vt:lpstr>'42.各項費用彙計表(6級)'!Print_Area</vt:lpstr>
      <vt:lpstr>'10.圖1'!Print_Titles</vt:lpstr>
      <vt:lpstr>'21-22.勞務成本明細7級'!Print_Titles</vt:lpstr>
      <vt:lpstr>'23.其他業務成本明細7級(X)'!Print_Titles</vt:lpstr>
      <vt:lpstr>'23.勞務成本明細6級'!Print_Titles</vt:lpstr>
      <vt:lpstr>'24.其他業務外費用明細7級(X) '!Print_Titles</vt:lpstr>
      <vt:lpstr>'26.其他業務成本明細 (6級)'!Print_Titles</vt:lpstr>
      <vt:lpstr>'28.其他業務外費用明細6級'!Print_Titles</vt:lpstr>
      <vt:lpstr>'34-35.預計平衡表 (2)'!Print_Titles</vt:lpstr>
      <vt:lpstr>'36.預計平衡表 (4級)'!Print_Titles</vt:lpstr>
      <vt:lpstr>'36.營運項目分析表 (2)'!Print_Titles</vt:lpstr>
      <vt:lpstr>'37.預計平衡表'!Print_Titles</vt:lpstr>
      <vt:lpstr>'38.營運項目分析表'!Print_Titles</vt:lpstr>
      <vt:lpstr>'40-41.各項費用彙計表(7級) '!Print_Titles</vt:lpstr>
      <vt:lpstr>'42.各項費用彙計表(6級)'!Print_Titles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000618</cp:lastModifiedBy>
  <cp:lastPrinted>2017-08-13T07:59:32Z</cp:lastPrinted>
  <dcterms:created xsi:type="dcterms:W3CDTF">2004-05-02T11:25:37Z</dcterms:created>
  <dcterms:modified xsi:type="dcterms:W3CDTF">2017-08-23T04:01:51Z</dcterms:modified>
</cp:coreProperties>
</file>