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charts/chart2.xml" ContentType="application/vnd.openxmlformats-officedocument.drawingml.chart+xml"/>
  <Default Extension="wmf" ContentType="image/x-wmf"/>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externalLinks/externalLink3.xml" ContentType="application/vnd.openxmlformats-officedocument.spreadsheetml.externalLink+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Default Extension="gif" ContentType="image/gif"/>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charts/chart13.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768" yWindow="96" windowWidth="8808" windowHeight="4428" tabRatio="920"/>
  </bookViews>
  <sheets>
    <sheet name="目次-" sheetId="88" r:id="rId1"/>
    <sheet name="隔頁-(業務計畫及預算說明)" sheetId="5" r:id="rId2"/>
    <sheet name="10.圖1" sheetId="12" r:id="rId3"/>
    <sheet name="11.圖2" sheetId="13" r:id="rId4"/>
    <sheet name="12.圖3" sheetId="55" r:id="rId5"/>
    <sheet name="13.圖4" sheetId="14" r:id="rId6"/>
    <sheet name="14.圖5" sheetId="1" r:id="rId7"/>
    <sheet name="隔頁 (主要表)" sheetId="16" r:id="rId8"/>
    <sheet name="15.收支預計表" sheetId="17" r:id="rId9"/>
    <sheet name="16.收支預計表說明 " sheetId="18" r:id="rId10"/>
    <sheet name="17.撥補表" sheetId="19" r:id="rId11"/>
    <sheet name="18.現金流量表 " sheetId="20" r:id="rId12"/>
    <sheet name="隔頁 ('明細表)" sheetId="21" r:id="rId13"/>
    <sheet name="19.勞務收入明細" sheetId="22" r:id="rId14"/>
    <sheet name="20.其他業務收入" sheetId="84" r:id="rId15"/>
    <sheet name="21.財務收入明細 利息" sheetId="24" r:id="rId16"/>
    <sheet name="22.其他業務外收入明細" sheetId="83" r:id="rId17"/>
    <sheet name="23-24.勞務成本明細6級" sheetId="26" r:id="rId18"/>
    <sheet name="21-22.勞務成本明細7級" sheetId="86" r:id="rId19"/>
    <sheet name="27.其他業務成本明細 (6級)" sheetId="29" r:id="rId20"/>
    <sheet name="23.其他業務成本明細7級(X)" sheetId="53" state="hidden" r:id="rId21"/>
    <sheet name="29.其他業務外費用明細6級" sheetId="32" r:id="rId22"/>
    <sheet name="24.其他業務外費用明細7級(X) " sheetId="33" state="hidden" r:id="rId23"/>
    <sheet name="31.固定資產建改擴明細表" sheetId="35" r:id="rId24"/>
    <sheet name="32.固定資產資金來源明細表" sheetId="36" r:id="rId25"/>
    <sheet name="33.隔頁 (空白25)" sheetId="73" r:id="rId26"/>
    <sheet name="34-35.固定資產計畫進度明細表" sheetId="37" r:id="rId27"/>
    <sheet name="36.資產折舊明細表" sheetId="38" r:id="rId28"/>
    <sheet name="30.資產折舊明細表 (2)" sheetId="59" state="hidden" r:id="rId29"/>
    <sheet name="37.基金數額增減明細表" sheetId="39" r:id="rId30"/>
    <sheet name="31.基金數額增減明細表 (2)" sheetId="60" state="hidden" r:id="rId31"/>
    <sheet name="38.隔頁 (空白30)" sheetId="72" r:id="rId32"/>
    <sheet name="32.隔頁 (空白32)" sheetId="8" state="hidden" r:id="rId33"/>
    <sheet name="隔頁 (參考表)" sheetId="40" r:id="rId34"/>
    <sheet name="33.隔頁 (空白33)" sheetId="64" state="hidden" r:id="rId35"/>
    <sheet name="34-35.預計平衡表 (2)" sheetId="62" state="hidden" r:id="rId36"/>
    <sheet name="39.預計平衡表" sheetId="66" r:id="rId37"/>
    <sheet name="36.預計平衡表 (4級)" sheetId="87" state="hidden" r:id="rId38"/>
    <sheet name="40.營運項目分析表" sheetId="46" r:id="rId39"/>
    <sheet name="36.營運項目分析表 (2)" sheetId="63" state="hidden" r:id="rId40"/>
    <sheet name="41.員工人數彙計表(1)" sheetId="76" r:id="rId41"/>
    <sheet name="37.員工人數彙計表(2)" sheetId="80" state="hidden" r:id="rId42"/>
    <sheet name="42-43.用人費用彙計表" sheetId="77" r:id="rId43"/>
    <sheet name="38-39.用人費用彙計表(2)" sheetId="81" state="hidden" r:id="rId44"/>
    <sheet name="44-45.各項費用彙計表(6級)" sheetId="67" r:id="rId45"/>
    <sheet name="40-41.各項費用彙計表(7級) " sheetId="47" r:id="rId46"/>
    <sheet name="46.隔頁 (空白38)" sheetId="79" r:id="rId47"/>
    <sheet name="43.隔頁 (空白43)" sheetId="74" state="hidden" r:id="rId48"/>
    <sheet name="附錄" sheetId="11" r:id="rId49"/>
    <sheet name="100設備分年性項目明細表(X)" sheetId="68" r:id="rId50"/>
    <sheet name=".100設備分年性項目明細表(X)" sheetId="49" r:id="rId51"/>
    <sheet name="封底 " sheetId="50" r:id="rId52"/>
    <sheet name="明細表" sheetId="52" r:id="rId53"/>
    <sheet name="Sheet1" sheetId="82" r:id="rId54"/>
  </sheets>
  <externalReferences>
    <externalReference r:id="rId55"/>
    <externalReference r:id="rId56"/>
    <externalReference r:id="rId57"/>
  </externalReferences>
  <definedNames>
    <definedName name="\0" localSheetId="14">#REF!</definedName>
    <definedName name="\0" localSheetId="18">#REF!</definedName>
    <definedName name="\0" localSheetId="16">#REF!</definedName>
    <definedName name="\0" localSheetId="37">#REF!</definedName>
    <definedName name="\0">#REF!</definedName>
    <definedName name="\a" localSheetId="14">#REF!</definedName>
    <definedName name="\a" localSheetId="16">#REF!</definedName>
    <definedName name="\a" localSheetId="37">#REF!</definedName>
    <definedName name="\a">#REF!</definedName>
    <definedName name="\p" localSheetId="14">#REF!</definedName>
    <definedName name="\p" localSheetId="16">#REF!</definedName>
    <definedName name="\p" localSheetId="37">#REF!</definedName>
    <definedName name="\p">#REF!</definedName>
    <definedName name="__123Graph_D" localSheetId="14" hidden="1">[1]勞務成本!#REF!</definedName>
    <definedName name="__123Graph_D" localSheetId="18" hidden="1">[1]勞務成本!#REF!</definedName>
    <definedName name="__123Graph_D" localSheetId="16" hidden="1">[1]勞務成本!#REF!</definedName>
    <definedName name="__123Graph_D" localSheetId="37" hidden="1">[1]勞務成本!#REF!</definedName>
    <definedName name="__123Graph_D" localSheetId="0" hidden="1">[1]勞務成本!#REF!</definedName>
    <definedName name="__123Graph_D" hidden="1">[1]勞務成本!#REF!</definedName>
    <definedName name="_PPRA15.U49_AG" localSheetId="14">#REF!</definedName>
    <definedName name="_PPRA15.U49_AG" localSheetId="18">#REF!</definedName>
    <definedName name="_PPRA15.U49_AG" localSheetId="16">#REF!</definedName>
    <definedName name="_PPRA15.U49_AG" localSheetId="37">#REF!</definedName>
    <definedName name="_PPRA15.U49_AG">#REF!</definedName>
    <definedName name="A_G_A1">#N/A</definedName>
    <definedName name="AA">#N/A</definedName>
    <definedName name="aaa" localSheetId="14">[2]間接費用!#REF!</definedName>
    <definedName name="aaa" localSheetId="18">[2]間接費用!#REF!</definedName>
    <definedName name="aaa" localSheetId="16">[2]間接費用!#REF!</definedName>
    <definedName name="aaa" localSheetId="37">[2]間接費用!#REF!</definedName>
    <definedName name="aaa" localSheetId="0">[2]間接費用!#REF!</definedName>
    <definedName name="aaa">[2]間接費用!#REF!</definedName>
    <definedName name="bbb" localSheetId="14">[2]間接費用!#REF!</definedName>
    <definedName name="bbb" localSheetId="18">[2]間接費用!#REF!</definedName>
    <definedName name="bbb" localSheetId="16">[2]間接費用!#REF!</definedName>
    <definedName name="bbb" localSheetId="37">[2]間接費用!#REF!</definedName>
    <definedName name="bbb" localSheetId="0">[2]間接費用!#REF!</definedName>
    <definedName name="bbb">[2]間接費用!#REF!</definedName>
    <definedName name="MANAGE">#N/A</definedName>
    <definedName name="OLE_LINK1" localSheetId="30">'31.基金數額增減明細表 (2)'!#REF!</definedName>
    <definedName name="OLE_LINK1" localSheetId="29">'37.基金數額增減明細表'!#REF!</definedName>
    <definedName name="OLE_LINK2" localSheetId="30">'31.基金數額增減明細表 (2)'!#REF!</definedName>
    <definedName name="OLE_LINK2" localSheetId="29">'37.基金數額增減明細表'!#REF!</definedName>
    <definedName name="_xlnm.Print_Area" localSheetId="2">'10.圖1'!$B$1:$E$40</definedName>
    <definedName name="_xlnm.Print_Area" localSheetId="3">'11.圖2'!$B$1:$E$44</definedName>
    <definedName name="_xlnm.Print_Area" localSheetId="4">'12.圖3'!$A$1:$F$45</definedName>
    <definedName name="_xlnm.Print_Area" localSheetId="5">'13.圖4'!$B$1:$E$40</definedName>
    <definedName name="_xlnm.Print_Area" localSheetId="6">'14.圖5'!$A$1:$F$43</definedName>
    <definedName name="_xlnm.Print_Area" localSheetId="10">'17.撥補表'!$A$1:$G$37</definedName>
    <definedName name="_xlnm.Print_Area" localSheetId="11">'18.現金流量表 '!$A$1:$C$38</definedName>
    <definedName name="_xlnm.Print_Area" localSheetId="13">'19.勞務收入明細'!$A$1:$G$29</definedName>
    <definedName name="_xlnm.Print_Area" localSheetId="14">'20.其他業務收入'!$A$1:$D$29</definedName>
    <definedName name="_xlnm.Print_Area" localSheetId="15">'21.財務收入明細 利息'!$A$1:$D$29</definedName>
    <definedName name="_xlnm.Print_Area" localSheetId="18">'21-22.勞務成本明細7級'!$A$1:$E$94</definedName>
    <definedName name="_xlnm.Print_Area" localSheetId="16">'22.其他業務外收入明細'!$A$1:$D$28</definedName>
    <definedName name="_xlnm.Print_Area" localSheetId="20">'23.其他業務成本明細7級(X)'!$A$1:$E$75</definedName>
    <definedName name="_xlnm.Print_Area" localSheetId="22">'24.其他業務外費用明細7級(X) '!$A$1:$E$69</definedName>
    <definedName name="_xlnm.Print_Area" localSheetId="19">'27.其他業務成本明細 (6級)'!$A$1:$E$33</definedName>
    <definedName name="_xlnm.Print_Area" localSheetId="21">'29.其他業務外費用明細6級'!$A$1:$E$34</definedName>
    <definedName name="_xlnm.Print_Area" localSheetId="26">'34-35.固定資產計畫進度明細表'!$A$1:$Q$29</definedName>
    <definedName name="_xlnm.Print_Area" localSheetId="35">'34-35.預計平衡表 (2)'!$A$1:$J$37</definedName>
    <definedName name="_xlnm.Print_Area" localSheetId="37">'36.預計平衡表 (4級)'!$A$1:$E$72</definedName>
    <definedName name="_xlnm.Print_Area" localSheetId="36">'39.預計平衡表'!$A$1:$E$72</definedName>
    <definedName name="_xlnm.Print_Area" localSheetId="45">'40-41.各項費用彙計表(7級) '!$A$1:$G$98</definedName>
    <definedName name="_xlnm.Print_Area" localSheetId="44">'44-45.各項費用彙計表(6級)'!$A$1:$G$65</definedName>
    <definedName name="_xlnm.Print_Area" localSheetId="0">#REF!</definedName>
    <definedName name="_xlnm.Print_Area">#REF!</definedName>
    <definedName name="PRINT_AREA_MI" localSheetId="14">#REF!</definedName>
    <definedName name="PRINT_AREA_MI" localSheetId="16">#REF!</definedName>
    <definedName name="PRINT_AREA_MI" localSheetId="37">#REF!</definedName>
    <definedName name="PRINT_AREA_MI">#REF!</definedName>
    <definedName name="_xlnm.Print_Titles" localSheetId="2">'10.圖1'!$4:$7</definedName>
    <definedName name="_xlnm.Print_Titles" localSheetId="18">'21-22.勞務成本明細7級'!$1:$7</definedName>
    <definedName name="_xlnm.Print_Titles" localSheetId="20">'23.其他業務成本明細7級(X)'!$1:$7</definedName>
    <definedName name="_xlnm.Print_Titles" localSheetId="17">'23-24.勞務成本明細6級'!$1:$7</definedName>
    <definedName name="_xlnm.Print_Titles" localSheetId="22">'24.其他業務外費用明細7級(X) '!$1:$7</definedName>
    <definedName name="_xlnm.Print_Titles" localSheetId="19">'27.其他業務成本明細 (6級)'!$1:$7</definedName>
    <definedName name="_xlnm.Print_Titles" localSheetId="21">'29.其他業務外費用明細6級'!$1:$7</definedName>
    <definedName name="_xlnm.Print_Titles" localSheetId="35">'34-35.預計平衡表 (2)'!$1:$6</definedName>
    <definedName name="_xlnm.Print_Titles" localSheetId="37">'36.預計平衡表 (4級)'!$1:$6</definedName>
    <definedName name="_xlnm.Print_Titles" localSheetId="39">'36.營運項目分析表 (2)'!$1:$6</definedName>
    <definedName name="_xlnm.Print_Titles" localSheetId="36">'39.預計平衡表'!$1:$6</definedName>
    <definedName name="_xlnm.Print_Titles" localSheetId="38">'40.營運項目分析表'!$1:$6</definedName>
    <definedName name="_xlnm.Print_Titles" localSheetId="45">'40-41.各項費用彙計表(7級) '!$1:$7</definedName>
    <definedName name="_xlnm.Print_Titles" localSheetId="44">'44-45.各項費用彙計表(6級)'!$1:$7</definedName>
    <definedName name="qwe" localSheetId="14">#REF!</definedName>
    <definedName name="qwe" localSheetId="18">#REF!</definedName>
    <definedName name="qwe" localSheetId="16">#REF!</definedName>
    <definedName name="qwe" localSheetId="37">#REF!</definedName>
    <definedName name="qwe">#REF!</definedName>
    <definedName name="RA119.U152_AG" localSheetId="14">#REF!</definedName>
    <definedName name="RA119.U152_AG" localSheetId="16">#REF!</definedName>
    <definedName name="RA119.U152_AG" localSheetId="37">#REF!</definedName>
    <definedName name="RA119.U152_AG">#REF!</definedName>
    <definedName name="RA153.U186_AG" localSheetId="14">#REF!</definedName>
    <definedName name="RA153.U186_AG" localSheetId="16">#REF!</definedName>
    <definedName name="RA153.U186_AG" localSheetId="37">#REF!</definedName>
    <definedName name="RA153.U186_AG">#REF!</definedName>
    <definedName name="RA50.U84_AG" localSheetId="14">#REF!</definedName>
    <definedName name="RA50.U84_AG" localSheetId="16">#REF!</definedName>
    <definedName name="RA50.U84_AG" localSheetId="37">#REF!</definedName>
    <definedName name="RA50.U84_AG">#REF!</definedName>
    <definedName name="RA85.U118_AG" localSheetId="14">#REF!</definedName>
    <definedName name="RA85.U118_AG" localSheetId="16">#REF!</definedName>
    <definedName name="RA85.U118_AG" localSheetId="37">#REF!</definedName>
    <definedName name="RA85.U118_AG">#REF!</definedName>
    <definedName name="zxc" localSheetId="14">#REF!</definedName>
    <definedName name="zxc" localSheetId="16">#REF!</definedName>
    <definedName name="zxc" localSheetId="37">#REF!</definedName>
    <definedName name="zxc">#REF!</definedName>
    <definedName name="人供">#N/A</definedName>
    <definedName name="平衡表.可支庫款" localSheetId="14">#REF!</definedName>
    <definedName name="平衡表.可支庫款" localSheetId="18">#REF!</definedName>
    <definedName name="平衡表.可支庫款" localSheetId="16">#REF!</definedName>
    <definedName name="平衡表.可支庫款" localSheetId="37">#REF!</definedName>
    <definedName name="平衡表.可支庫款">#REF!</definedName>
    <definedName name="平衡表.所屬機關可支庫款" localSheetId="14">#REF!</definedName>
    <definedName name="平衡表.所屬機關可支庫款" localSheetId="16">#REF!</definedName>
    <definedName name="平衡表.所屬機關可支庫款" localSheetId="37">#REF!</definedName>
    <definedName name="平衡表.所屬機關可支庫款">#REF!</definedName>
    <definedName name="平衡表.負擔負債科目合計" localSheetId="14">#REF!</definedName>
    <definedName name="平衡表.負擔負債科目合計" localSheetId="16">#REF!</definedName>
    <definedName name="平衡表.負擔負債科目合計" localSheetId="37">#REF!</definedName>
    <definedName name="平衡表.負擔負債科目合計">#REF!</definedName>
    <definedName name="平衡表.歲出分配數" localSheetId="14">#REF!</definedName>
    <definedName name="平衡表.歲出分配數" localSheetId="16">#REF!</definedName>
    <definedName name="平衡表.歲出分配數" localSheetId="37">#REF!</definedName>
    <definedName name="平衡表.歲出分配數">#REF!</definedName>
    <definedName name="平衡表.歲出預算數" localSheetId="14">#REF!</definedName>
    <definedName name="平衡表.歲出預算數" localSheetId="16">#REF!</definedName>
    <definedName name="平衡表.歲出預算數" localSheetId="37">#REF!</definedName>
    <definedName name="平衡表.歲出預算數">#REF!</definedName>
    <definedName name="平衡表.經費支出" localSheetId="14">#REF!</definedName>
    <definedName name="平衡表.經費支出" localSheetId="16">#REF!</definedName>
    <definedName name="平衡表.經費支出" localSheetId="37">#REF!</definedName>
    <definedName name="平衡表.經費支出">#REF!</definedName>
    <definedName name="平衡表.資力資產科目合計" localSheetId="14">#REF!</definedName>
    <definedName name="平衡表.資力資產科目合計" localSheetId="16">#REF!</definedName>
    <definedName name="平衡表.資力資產科目合計" localSheetId="37">#REF!</definedName>
    <definedName name="平衡表.資力資產科目合計">#REF!</definedName>
    <definedName name="平衡表.預計支用數" localSheetId="14">#REF!</definedName>
    <definedName name="平衡表.預計支用數" localSheetId="16">#REF!</definedName>
    <definedName name="平衡表.預計支用數" localSheetId="37">#REF!</definedName>
    <definedName name="平衡表.預計支用數">#REF!</definedName>
    <definedName name="累計表.本月止分配數合計" localSheetId="14">[3]經費累計表!#REF!</definedName>
    <definedName name="累計表.本月止分配數合計" localSheetId="16">[3]經費累計表!#REF!</definedName>
    <definedName name="累計表.本月止分配數合計" localSheetId="37">[3]經費累計表!#REF!</definedName>
    <definedName name="累計表.本月止分配數合計">[3]經費累計表!#REF!</definedName>
    <definedName name="累計表.本月止實付累計數合計" localSheetId="14">[3]經費累計表!#REF!</definedName>
    <definedName name="累計表.本月止實付累計數合計" localSheetId="16">[3]經費累計表!#REF!</definedName>
    <definedName name="累計表.本月止實付累計數合計" localSheetId="37">[3]經費累計表!#REF!</definedName>
    <definedName name="累計表.本月止實付累計數合計">[3]經費累計表!#REF!</definedName>
    <definedName name="累計表.全年度預算數合計" localSheetId="14">[3]經費累計表!#REF!</definedName>
    <definedName name="累計表.全年度預算數合計" localSheetId="16">[3]經費累計表!#REF!</definedName>
    <definedName name="累計表.全年度預算數合計" localSheetId="37">[3]經費累計表!#REF!</definedName>
    <definedName name="累計表.全年度預算數合計">[3]經費累計表!#REF!</definedName>
    <definedName name="勞務成本1" localSheetId="14">#REF!</definedName>
    <definedName name="勞務成本1" localSheetId="18">#REF!</definedName>
    <definedName name="勞務成本1" localSheetId="16">#REF!</definedName>
    <definedName name="勞務成本1" localSheetId="37">#REF!</definedName>
    <definedName name="勞務成本1">#REF!</definedName>
    <definedName name="經費類" localSheetId="14">#REF!</definedName>
    <definedName name="經費類" localSheetId="16">#REF!</definedName>
    <definedName name="經費類" localSheetId="37">#REF!</definedName>
    <definedName name="經費類">#REF!</definedName>
    <definedName name="資產表" localSheetId="14">#REF!</definedName>
    <definedName name="資產表" localSheetId="16">#REF!</definedName>
    <definedName name="資產表" localSheetId="37">#REF!</definedName>
    <definedName name="資產表">#REF!</definedName>
    <definedName name="管總費用" localSheetId="14">#REF!</definedName>
    <definedName name="管總費用" localSheetId="16">#REF!</definedName>
    <definedName name="管總費用" localSheetId="37">#REF!</definedName>
    <definedName name="管總費用">#REF!</definedName>
  </definedNames>
  <calcPr calcId="125725"/>
</workbook>
</file>

<file path=xl/calcChain.xml><?xml version="1.0" encoding="utf-8"?>
<calcChain xmlns="http://schemas.openxmlformats.org/spreadsheetml/2006/main">
  <c r="E10" i="19"/>
  <c r="E46" i="86"/>
  <c r="E25"/>
  <c r="E12" i="46" l="1"/>
  <c r="C10" i="66"/>
  <c r="D10"/>
  <c r="D69"/>
  <c r="C69" s="1"/>
  <c r="F14" i="26"/>
  <c r="F18"/>
  <c r="D44" i="55"/>
  <c r="C46" i="13"/>
  <c r="F90" i="47" l="1"/>
  <c r="F96"/>
  <c r="E64" i="66" l="1"/>
  <c r="E63"/>
  <c r="E62" s="1"/>
  <c r="E61" s="1"/>
  <c r="D69" i="87"/>
  <c r="D68" s="1"/>
  <c r="D67" s="1"/>
  <c r="C69"/>
  <c r="C68" s="1"/>
  <c r="C67" s="1"/>
  <c r="A68"/>
  <c r="A67" s="1"/>
  <c r="D64"/>
  <c r="D63" s="1"/>
  <c r="C64"/>
  <c r="C63" s="1"/>
  <c r="A64"/>
  <c r="A63" s="1"/>
  <c r="D61"/>
  <c r="E61" s="1"/>
  <c r="E60" s="1"/>
  <c r="E59" s="1"/>
  <c r="C60"/>
  <c r="C59" s="1"/>
  <c r="A60"/>
  <c r="A59" s="1"/>
  <c r="D53"/>
  <c r="E53" s="1"/>
  <c r="D52"/>
  <c r="E52" s="1"/>
  <c r="C51"/>
  <c r="C50" s="1"/>
  <c r="A50"/>
  <c r="D48"/>
  <c r="D47" s="1"/>
  <c r="C47"/>
  <c r="A47"/>
  <c r="D46"/>
  <c r="E46" s="1"/>
  <c r="E45"/>
  <c r="D44"/>
  <c r="E44" s="1"/>
  <c r="D43"/>
  <c r="E43" s="1"/>
  <c r="D42"/>
  <c r="E42" s="1"/>
  <c r="C41"/>
  <c r="A41"/>
  <c r="A40" s="1"/>
  <c r="A39" s="1"/>
  <c r="D36"/>
  <c r="E36" s="1"/>
  <c r="E35" s="1"/>
  <c r="E34" s="1"/>
  <c r="C35"/>
  <c r="C34" s="1"/>
  <c r="A35"/>
  <c r="A34"/>
  <c r="D32"/>
  <c r="D31" s="1"/>
  <c r="D30" s="1"/>
  <c r="C32"/>
  <c r="A31"/>
  <c r="A30" s="1"/>
  <c r="E28"/>
  <c r="E27" s="1"/>
  <c r="D27"/>
  <c r="C27"/>
  <c r="A27"/>
  <c r="D26"/>
  <c r="E26" s="1"/>
  <c r="D25"/>
  <c r="E25" s="1"/>
  <c r="E24" s="1"/>
  <c r="C24"/>
  <c r="A24"/>
  <c r="C23"/>
  <c r="E23" s="1"/>
  <c r="A23"/>
  <c r="D22"/>
  <c r="D21"/>
  <c r="A21"/>
  <c r="D20"/>
  <c r="E20" s="1"/>
  <c r="A20"/>
  <c r="D19"/>
  <c r="A18"/>
  <c r="D15"/>
  <c r="E15" s="1"/>
  <c r="E14" s="1"/>
  <c r="D14"/>
  <c r="C14"/>
  <c r="A14"/>
  <c r="D13"/>
  <c r="E13" s="1"/>
  <c r="D12"/>
  <c r="E12" s="1"/>
  <c r="E11" s="1"/>
  <c r="C11"/>
  <c r="A11"/>
  <c r="D10"/>
  <c r="D9" s="1"/>
  <c r="C10"/>
  <c r="E10" s="1"/>
  <c r="E9" s="1"/>
  <c r="E8" s="1"/>
  <c r="C9"/>
  <c r="C8" s="1"/>
  <c r="A9"/>
  <c r="C40" l="1"/>
  <c r="E48"/>
  <c r="E47" s="1"/>
  <c r="C58"/>
  <c r="A58"/>
  <c r="A8"/>
  <c r="A17"/>
  <c r="E32"/>
  <c r="E31" s="1"/>
  <c r="E30" s="1"/>
  <c r="D41"/>
  <c r="D40" s="1"/>
  <c r="E41"/>
  <c r="E40" s="1"/>
  <c r="E39" s="1"/>
  <c r="E51"/>
  <c r="E50" s="1"/>
  <c r="A71"/>
  <c r="C39"/>
  <c r="C71" s="1"/>
  <c r="E58"/>
  <c r="D11"/>
  <c r="D8" s="1"/>
  <c r="D18"/>
  <c r="D24"/>
  <c r="C31"/>
  <c r="C30" s="1"/>
  <c r="D35"/>
  <c r="D34" s="1"/>
  <c r="D51"/>
  <c r="D50" s="1"/>
  <c r="D39" s="1"/>
  <c r="D60"/>
  <c r="D59" s="1"/>
  <c r="D58" s="1"/>
  <c r="E69"/>
  <c r="E68" s="1"/>
  <c r="E67" s="1"/>
  <c r="D71" l="1"/>
  <c r="A7"/>
  <c r="A37" s="1"/>
  <c r="E71"/>
  <c r="D17"/>
  <c r="D7" s="1"/>
  <c r="D37" s="1"/>
  <c r="E92" i="86" l="1"/>
  <c r="E45"/>
  <c r="B24" i="20"/>
  <c r="C32" i="66"/>
  <c r="F40" i="26"/>
  <c r="D36" i="67"/>
  <c r="C23" i="66"/>
  <c r="A21"/>
  <c r="A54" i="47" l="1"/>
  <c r="A25"/>
  <c r="A13"/>
  <c r="D19" i="66"/>
  <c r="D22"/>
  <c r="D15" i="22"/>
  <c r="F15"/>
  <c r="B34" i="20"/>
  <c r="A18" i="66"/>
  <c r="A23"/>
  <c r="A20"/>
  <c r="A31"/>
  <c r="A11"/>
  <c r="A9"/>
  <c r="D61"/>
  <c r="D53"/>
  <c r="D52"/>
  <c r="D48"/>
  <c r="D46"/>
  <c r="D44"/>
  <c r="D43"/>
  <c r="D42"/>
  <c r="D36"/>
  <c r="D32"/>
  <c r="D26"/>
  <c r="D25"/>
  <c r="D20"/>
  <c r="D15"/>
  <c r="D13"/>
  <c r="D12"/>
  <c r="A47"/>
  <c r="A41"/>
  <c r="A40" s="1"/>
  <c r="A39" s="1"/>
  <c r="A14"/>
  <c r="A26" i="32" l="1"/>
  <c r="A25" s="1"/>
  <c r="L9" i="26"/>
  <c r="L23"/>
  <c r="D8" i="22"/>
  <c r="E9" i="38"/>
  <c r="G12" i="35" l="1"/>
  <c r="E12"/>
  <c r="I29" i="26" l="1"/>
  <c r="F39"/>
  <c r="B96" i="47"/>
  <c r="E37" i="86"/>
  <c r="A8" l="1"/>
  <c r="A61"/>
  <c r="B61" i="47"/>
  <c r="B30"/>
  <c r="E96"/>
  <c r="G88"/>
  <c r="G84"/>
  <c r="G81" s="1"/>
  <c r="E22" i="86" l="1"/>
  <c r="E91" i="47"/>
  <c r="E88"/>
  <c r="E86"/>
  <c r="E85"/>
  <c r="E80"/>
  <c r="E78"/>
  <c r="E76"/>
  <c r="E74"/>
  <c r="E71"/>
  <c r="E69"/>
  <c r="E67"/>
  <c r="E66"/>
  <c r="E64"/>
  <c r="E56"/>
  <c r="E57"/>
  <c r="E58"/>
  <c r="E59"/>
  <c r="E55"/>
  <c r="E53"/>
  <c r="E52"/>
  <c r="E49"/>
  <c r="E41"/>
  <c r="E42"/>
  <c r="E43"/>
  <c r="E44"/>
  <c r="E45"/>
  <c r="E46"/>
  <c r="E47"/>
  <c r="E40"/>
  <c r="E39"/>
  <c r="E35"/>
  <c r="E36"/>
  <c r="E37"/>
  <c r="E34"/>
  <c r="E32"/>
  <c r="E31"/>
  <c r="E27"/>
  <c r="E28"/>
  <c r="E29"/>
  <c r="E26"/>
  <c r="E23"/>
  <c r="E24"/>
  <c r="E22"/>
  <c r="E19"/>
  <c r="E20"/>
  <c r="E18"/>
  <c r="F15" i="38" l="1"/>
  <c r="F15" i="59"/>
  <c r="E15" i="38"/>
  <c r="E15" i="59"/>
  <c r="D15" i="38"/>
  <c r="D15" i="59"/>
  <c r="E84" i="47"/>
  <c r="D88"/>
  <c r="E87"/>
  <c r="E15"/>
  <c r="E16"/>
  <c r="E14"/>
  <c r="E11"/>
  <c r="E12"/>
  <c r="E10"/>
  <c r="B91" i="86"/>
  <c r="B90" s="1"/>
  <c r="A91"/>
  <c r="A90" s="1"/>
  <c r="A88"/>
  <c r="B85"/>
  <c r="A85"/>
  <c r="B83"/>
  <c r="B82" s="1"/>
  <c r="G82" s="1"/>
  <c r="A83"/>
  <c r="A82"/>
  <c r="B80"/>
  <c r="A80"/>
  <c r="B78"/>
  <c r="A78"/>
  <c r="B76"/>
  <c r="A76"/>
  <c r="B74"/>
  <c r="A74"/>
  <c r="B71"/>
  <c r="A71"/>
  <c r="B69"/>
  <c r="A69"/>
  <c r="B66"/>
  <c r="A66"/>
  <c r="B64"/>
  <c r="A64"/>
  <c r="B62"/>
  <c r="B61" s="1"/>
  <c r="A62"/>
  <c r="B55"/>
  <c r="A55"/>
  <c r="I55" s="1"/>
  <c r="B52"/>
  <c r="B51" s="1"/>
  <c r="A52"/>
  <c r="B50"/>
  <c r="B49"/>
  <c r="A49"/>
  <c r="B39"/>
  <c r="A39"/>
  <c r="B34"/>
  <c r="A34"/>
  <c r="B31"/>
  <c r="A31"/>
  <c r="B26"/>
  <c r="A26"/>
  <c r="B22"/>
  <c r="A22"/>
  <c r="B18"/>
  <c r="A18"/>
  <c r="B14"/>
  <c r="A14"/>
  <c r="B10"/>
  <c r="A10"/>
  <c r="E91"/>
  <c r="E90" s="1"/>
  <c r="G85"/>
  <c r="E85"/>
  <c r="G83" s="1"/>
  <c r="H85"/>
  <c r="I85"/>
  <c r="I84" s="1"/>
  <c r="I83" s="1"/>
  <c r="K84"/>
  <c r="K83" s="1"/>
  <c r="G84"/>
  <c r="F84"/>
  <c r="F83"/>
  <c r="E83"/>
  <c r="I82"/>
  <c r="I81" s="1"/>
  <c r="I80" s="1"/>
  <c r="K81"/>
  <c r="K80" s="1"/>
  <c r="F81"/>
  <c r="G80"/>
  <c r="F80"/>
  <c r="E80"/>
  <c r="M79"/>
  <c r="I79"/>
  <c r="H79"/>
  <c r="G79"/>
  <c r="K78"/>
  <c r="I78"/>
  <c r="H78"/>
  <c r="F78"/>
  <c r="E78"/>
  <c r="G77" s="1"/>
  <c r="G78"/>
  <c r="M77"/>
  <c r="L77"/>
  <c r="I77"/>
  <c r="I76" s="1"/>
  <c r="H77"/>
  <c r="K76"/>
  <c r="H76"/>
  <c r="F76"/>
  <c r="G75"/>
  <c r="M75"/>
  <c r="L75"/>
  <c r="I75"/>
  <c r="H75"/>
  <c r="H74" s="1"/>
  <c r="K74"/>
  <c r="G74"/>
  <c r="E74"/>
  <c r="M73"/>
  <c r="K72"/>
  <c r="K71" s="1"/>
  <c r="F72"/>
  <c r="F71" s="1"/>
  <c r="E71"/>
  <c r="G70" s="1"/>
  <c r="G71"/>
  <c r="I70"/>
  <c r="I69" s="1"/>
  <c r="H70"/>
  <c r="K69"/>
  <c r="F69"/>
  <c r="E69"/>
  <c r="G68" s="1"/>
  <c r="G69"/>
  <c r="I68"/>
  <c r="H68"/>
  <c r="K67"/>
  <c r="H67"/>
  <c r="G67"/>
  <c r="F67"/>
  <c r="F60" s="1"/>
  <c r="H66"/>
  <c r="H65" s="1"/>
  <c r="G66"/>
  <c r="E66"/>
  <c r="G65" s="1"/>
  <c r="I66"/>
  <c r="I65" s="1"/>
  <c r="K65"/>
  <c r="H64"/>
  <c r="H63" s="1"/>
  <c r="G64"/>
  <c r="E64"/>
  <c r="G63" s="1"/>
  <c r="I64"/>
  <c r="I63" s="1"/>
  <c r="K63"/>
  <c r="H62"/>
  <c r="H61" s="1"/>
  <c r="G62"/>
  <c r="E62"/>
  <c r="I62"/>
  <c r="I61" s="1"/>
  <c r="K61"/>
  <c r="I59"/>
  <c r="H59"/>
  <c r="G59"/>
  <c r="I58"/>
  <c r="H58"/>
  <c r="L57"/>
  <c r="I57"/>
  <c r="H57"/>
  <c r="G57"/>
  <c r="I56"/>
  <c r="H56"/>
  <c r="G56"/>
  <c r="L55"/>
  <c r="E55"/>
  <c r="G54" s="1"/>
  <c r="G55"/>
  <c r="K54"/>
  <c r="F54"/>
  <c r="F50" s="1"/>
  <c r="I53"/>
  <c r="H53"/>
  <c r="G53"/>
  <c r="G52"/>
  <c r="E52"/>
  <c r="H52"/>
  <c r="I52"/>
  <c r="K51"/>
  <c r="K50" s="1"/>
  <c r="E51"/>
  <c r="G50" s="1"/>
  <c r="H49"/>
  <c r="G49"/>
  <c r="E49"/>
  <c r="I49"/>
  <c r="I48" s="1"/>
  <c r="K48"/>
  <c r="H48"/>
  <c r="G48"/>
  <c r="I47"/>
  <c r="H47"/>
  <c r="G47"/>
  <c r="K46"/>
  <c r="I46"/>
  <c r="H46"/>
  <c r="G46"/>
  <c r="K45"/>
  <c r="I45"/>
  <c r="H45"/>
  <c r="G45"/>
  <c r="I44"/>
  <c r="H44"/>
  <c r="G44"/>
  <c r="K43"/>
  <c r="I43"/>
  <c r="H43"/>
  <c r="I42"/>
  <c r="I41"/>
  <c r="H41"/>
  <c r="G41"/>
  <c r="I40"/>
  <c r="H40"/>
  <c r="G40"/>
  <c r="F39"/>
  <c r="E39"/>
  <c r="G39" s="1"/>
  <c r="I38"/>
  <c r="H38"/>
  <c r="G38"/>
  <c r="L37"/>
  <c r="K37"/>
  <c r="K34" s="1"/>
  <c r="I37"/>
  <c r="G37"/>
  <c r="I36"/>
  <c r="H36"/>
  <c r="G36"/>
  <c r="I35"/>
  <c r="H35"/>
  <c r="G35"/>
  <c r="F34"/>
  <c r="E34"/>
  <c r="G34" s="1"/>
  <c r="I33"/>
  <c r="H33"/>
  <c r="G33"/>
  <c r="I32"/>
  <c r="H32"/>
  <c r="G32"/>
  <c r="K31"/>
  <c r="E31"/>
  <c r="G31" s="1"/>
  <c r="I30"/>
  <c r="H30"/>
  <c r="G30"/>
  <c r="L29"/>
  <c r="I29"/>
  <c r="H29"/>
  <c r="G29"/>
  <c r="K28"/>
  <c r="K26" s="1"/>
  <c r="I28"/>
  <c r="H28"/>
  <c r="G28"/>
  <c r="I27"/>
  <c r="H27"/>
  <c r="G27"/>
  <c r="E26"/>
  <c r="G26" s="1"/>
  <c r="I25"/>
  <c r="H25"/>
  <c r="G25"/>
  <c r="I24"/>
  <c r="H24"/>
  <c r="G24"/>
  <c r="I23"/>
  <c r="G23"/>
  <c r="K22"/>
  <c r="F22"/>
  <c r="G22"/>
  <c r="I21"/>
  <c r="H21"/>
  <c r="G21"/>
  <c r="I20"/>
  <c r="H20"/>
  <c r="G20"/>
  <c r="I19"/>
  <c r="H19"/>
  <c r="G19"/>
  <c r="K18"/>
  <c r="F18"/>
  <c r="E18"/>
  <c r="G18" s="1"/>
  <c r="I17"/>
  <c r="H17"/>
  <c r="G17"/>
  <c r="I16"/>
  <c r="H16"/>
  <c r="G16"/>
  <c r="I15"/>
  <c r="H15"/>
  <c r="G15"/>
  <c r="K14"/>
  <c r="F14"/>
  <c r="E14"/>
  <c r="G14" s="1"/>
  <c r="I13"/>
  <c r="H13"/>
  <c r="G13"/>
  <c r="L12"/>
  <c r="I12"/>
  <c r="H12"/>
  <c r="G12"/>
  <c r="L11"/>
  <c r="I11"/>
  <c r="I10" s="1"/>
  <c r="H11"/>
  <c r="G11"/>
  <c r="K10"/>
  <c r="F10"/>
  <c r="E10"/>
  <c r="G10" s="1"/>
  <c r="F9"/>
  <c r="H4"/>
  <c r="F8" l="1"/>
  <c r="J15"/>
  <c r="J19"/>
  <c r="J44"/>
  <c r="J53"/>
  <c r="E82"/>
  <c r="G81" s="1"/>
  <c r="B73"/>
  <c r="I51"/>
  <c r="K60"/>
  <c r="B9"/>
  <c r="J13"/>
  <c r="J28"/>
  <c r="J32"/>
  <c r="J68"/>
  <c r="J67" s="1"/>
  <c r="H14"/>
  <c r="I14"/>
  <c r="H26"/>
  <c r="K39"/>
  <c r="K9" s="1"/>
  <c r="K8" s="1"/>
  <c r="K94" s="1"/>
  <c r="L45" s="1"/>
  <c r="G61"/>
  <c r="E81" i="47"/>
  <c r="A73" i="86"/>
  <c r="I73" s="1"/>
  <c r="I72" s="1"/>
  <c r="J77"/>
  <c r="J76" s="1"/>
  <c r="J70"/>
  <c r="J69" s="1"/>
  <c r="J56"/>
  <c r="I54"/>
  <c r="I50" s="1"/>
  <c r="J58"/>
  <c r="A51"/>
  <c r="J45"/>
  <c r="J43"/>
  <c r="I39"/>
  <c r="J40"/>
  <c r="J36"/>
  <c r="I34"/>
  <c r="I31"/>
  <c r="J30"/>
  <c r="J27"/>
  <c r="J25"/>
  <c r="I22"/>
  <c r="J24"/>
  <c r="J21"/>
  <c r="J17"/>
  <c r="J16"/>
  <c r="A9"/>
  <c r="A94" s="1"/>
  <c r="J12"/>
  <c r="J11"/>
  <c r="J10" s="1"/>
  <c r="E73"/>
  <c r="G72" s="1"/>
  <c r="J20"/>
  <c r="J35"/>
  <c r="J41"/>
  <c r="J46"/>
  <c r="J47"/>
  <c r="J49"/>
  <c r="J48" s="1"/>
  <c r="J59"/>
  <c r="J79"/>
  <c r="J78" s="1"/>
  <c r="I18"/>
  <c r="J29"/>
  <c r="J33"/>
  <c r="J31" s="1"/>
  <c r="J38"/>
  <c r="H39"/>
  <c r="J57"/>
  <c r="J75"/>
  <c r="J74" s="1"/>
  <c r="J18"/>
  <c r="H84"/>
  <c r="H83" s="1"/>
  <c r="J85"/>
  <c r="J84" s="1"/>
  <c r="J83" s="1"/>
  <c r="J62"/>
  <c r="J61" s="1"/>
  <c r="J64"/>
  <c r="J63" s="1"/>
  <c r="J66"/>
  <c r="J65" s="1"/>
  <c r="H51"/>
  <c r="J52"/>
  <c r="J51" s="1"/>
  <c r="G73"/>
  <c r="H73"/>
  <c r="G76"/>
  <c r="H82"/>
  <c r="E9"/>
  <c r="H10"/>
  <c r="H18"/>
  <c r="H31"/>
  <c r="G51"/>
  <c r="H55"/>
  <c r="E61"/>
  <c r="G60" s="1"/>
  <c r="I67"/>
  <c r="I60" s="1"/>
  <c r="H69"/>
  <c r="H60" s="1"/>
  <c r="I74"/>
  <c r="I71" s="1"/>
  <c r="H23"/>
  <c r="I26"/>
  <c r="H37"/>
  <c r="J39" l="1"/>
  <c r="I9"/>
  <c r="I8" s="1"/>
  <c r="I94" s="1"/>
  <c r="J26"/>
  <c r="J14"/>
  <c r="H72"/>
  <c r="H71" s="1"/>
  <c r="J73"/>
  <c r="J72" s="1"/>
  <c r="J71" s="1"/>
  <c r="B8"/>
  <c r="B94" s="1"/>
  <c r="J37"/>
  <c r="J34" s="1"/>
  <c r="H34"/>
  <c r="J60"/>
  <c r="E8"/>
  <c r="G9"/>
  <c r="J55"/>
  <c r="J54" s="1"/>
  <c r="J50" s="1"/>
  <c r="H54"/>
  <c r="H50" s="1"/>
  <c r="J23"/>
  <c r="J22" s="1"/>
  <c r="H22"/>
  <c r="J82"/>
  <c r="J81" s="1"/>
  <c r="J80" s="1"/>
  <c r="H81"/>
  <c r="H80" s="1"/>
  <c r="F25" i="52"/>
  <c r="F24"/>
  <c r="E14" i="53"/>
  <c r="A11" i="17"/>
  <c r="E41" i="13"/>
  <c r="C41"/>
  <c r="C38"/>
  <c r="C8" i="84"/>
  <c r="C64" i="66"/>
  <c r="C63" s="1"/>
  <c r="D64"/>
  <c r="D63" s="1"/>
  <c r="D18" i="62"/>
  <c r="C18"/>
  <c r="D21" i="63"/>
  <c r="J36" i="62"/>
  <c r="I35"/>
  <c r="I34" s="1"/>
  <c r="J34" s="1"/>
  <c r="H34"/>
  <c r="H35"/>
  <c r="F35"/>
  <c r="F34"/>
  <c r="C44" i="13" l="1"/>
  <c r="C49" s="1"/>
  <c r="C47"/>
  <c r="H9" i="86"/>
  <c r="H8" s="1"/>
  <c r="H94" s="1"/>
  <c r="J9"/>
  <c r="J8" s="1"/>
  <c r="J94" s="1"/>
  <c r="E94"/>
  <c r="G8"/>
  <c r="E96"/>
  <c r="J35" i="62"/>
  <c r="B32" i="20"/>
  <c r="F43" i="67"/>
  <c r="F42" s="1"/>
  <c r="F41"/>
  <c r="F39"/>
  <c r="F38" s="1"/>
  <c r="F35"/>
  <c r="F29"/>
  <c r="E43"/>
  <c r="E42" s="1"/>
  <c r="D18" i="46"/>
  <c r="D21"/>
  <c r="F95" i="47"/>
  <c r="F92"/>
  <c r="F40" i="67" s="1"/>
  <c r="F89" i="47"/>
  <c r="F84"/>
  <c r="F34" i="67" s="1"/>
  <c r="F82" i="47"/>
  <c r="F33" i="67" s="1"/>
  <c r="F79" i="47"/>
  <c r="F31" i="67" s="1"/>
  <c r="G79" i="47"/>
  <c r="F77"/>
  <c r="F30" i="67" s="1"/>
  <c r="G77" i="47"/>
  <c r="F75"/>
  <c r="G75"/>
  <c r="F73"/>
  <c r="F28" i="67" s="1"/>
  <c r="G73" i="47"/>
  <c r="G72" s="1"/>
  <c r="F70"/>
  <c r="F26" i="67" s="1"/>
  <c r="G70" i="47"/>
  <c r="F68"/>
  <c r="F25" i="67" s="1"/>
  <c r="G68" i="47"/>
  <c r="F65"/>
  <c r="F24" i="67" s="1"/>
  <c r="G65" i="47"/>
  <c r="F63"/>
  <c r="F23" i="67" s="1"/>
  <c r="G63" i="47"/>
  <c r="F61"/>
  <c r="F22" i="67" s="1"/>
  <c r="G61" i="47"/>
  <c r="F54"/>
  <c r="F50" s="1"/>
  <c r="G54"/>
  <c r="F51"/>
  <c r="F19" i="67" s="1"/>
  <c r="G51" i="47"/>
  <c r="F48"/>
  <c r="F17" i="67" s="1"/>
  <c r="G48" i="47"/>
  <c r="F38"/>
  <c r="F16" i="67" s="1"/>
  <c r="G38" i="47"/>
  <c r="F33"/>
  <c r="F15" i="67" s="1"/>
  <c r="G33" i="47"/>
  <c r="F30"/>
  <c r="F14" i="67" s="1"/>
  <c r="G30" i="47"/>
  <c r="F25"/>
  <c r="F13" i="67" s="1"/>
  <c r="G25" i="47"/>
  <c r="F21"/>
  <c r="F12" i="67" s="1"/>
  <c r="G21" i="47"/>
  <c r="F17"/>
  <c r="F11" i="67" s="1"/>
  <c r="G17" i="47"/>
  <c r="F13"/>
  <c r="F10" i="67" s="1"/>
  <c r="G13" i="47"/>
  <c r="F9"/>
  <c r="F9" i="67" s="1"/>
  <c r="G9" i="47"/>
  <c r="A87"/>
  <c r="A36" i="67" s="1"/>
  <c r="A84" i="47"/>
  <c r="B87"/>
  <c r="B82"/>
  <c r="D87"/>
  <c r="D94"/>
  <c r="D97"/>
  <c r="G8" l="1"/>
  <c r="G50"/>
  <c r="G60"/>
  <c r="F60"/>
  <c r="F72"/>
  <c r="F20" i="67"/>
  <c r="F18" s="1"/>
  <c r="F8" i="47"/>
  <c r="F81"/>
  <c r="F21" i="67"/>
  <c r="F8"/>
  <c r="F32"/>
  <c r="F27"/>
  <c r="E35"/>
  <c r="E34"/>
  <c r="D67" i="47"/>
  <c r="D66"/>
  <c r="D64"/>
  <c r="D59"/>
  <c r="D58"/>
  <c r="D57"/>
  <c r="D56"/>
  <c r="D55"/>
  <c r="D53"/>
  <c r="D47"/>
  <c r="D46"/>
  <c r="D45"/>
  <c r="D44"/>
  <c r="D43"/>
  <c r="D42"/>
  <c r="D40"/>
  <c r="D39"/>
  <c r="D37"/>
  <c r="D36"/>
  <c r="D35"/>
  <c r="D34"/>
  <c r="D31"/>
  <c r="D29"/>
  <c r="D28"/>
  <c r="D27"/>
  <c r="D26"/>
  <c r="D24"/>
  <c r="D23"/>
  <c r="D22"/>
  <c r="D20"/>
  <c r="D19"/>
  <c r="D18"/>
  <c r="D16"/>
  <c r="D15"/>
  <c r="D14"/>
  <c r="D12"/>
  <c r="D11"/>
  <c r="D10"/>
  <c r="E95"/>
  <c r="E93"/>
  <c r="E41" i="67" s="1"/>
  <c r="E83" i="47"/>
  <c r="A64" i="66"/>
  <c r="A63" s="1"/>
  <c r="D26" i="17"/>
  <c r="C8" i="83"/>
  <c r="E92" i="47" l="1"/>
  <c r="E40" i="67" s="1"/>
  <c r="F98" i="47"/>
  <c r="E54"/>
  <c r="E20" i="67" s="1"/>
  <c r="F65"/>
  <c r="E13" i="47"/>
  <c r="E10" i="67" s="1"/>
  <c r="E63" i="47"/>
  <c r="E82"/>
  <c r="E33" i="67" s="1"/>
  <c r="E32" s="1"/>
  <c r="E33" i="47"/>
  <c r="E15" i="67" s="1"/>
  <c r="E30" i="47"/>
  <c r="E14" i="67" s="1"/>
  <c r="D32" i="47"/>
  <c r="E51"/>
  <c r="E19" i="67" s="1"/>
  <c r="D52" i="47"/>
  <c r="E61"/>
  <c r="E22" i="67" s="1"/>
  <c r="D62" i="47"/>
  <c r="E90"/>
  <c r="E39" i="67" s="1"/>
  <c r="E38" s="1"/>
  <c r="D91" i="47"/>
  <c r="E65"/>
  <c r="E38"/>
  <c r="E16" i="67" s="1"/>
  <c r="E25" i="47"/>
  <c r="E13" i="67" s="1"/>
  <c r="E21" i="47"/>
  <c r="E12" i="67" s="1"/>
  <c r="E17" i="47"/>
  <c r="E11" i="67" s="1"/>
  <c r="E9" i="47"/>
  <c r="E9" i="67" s="1"/>
  <c r="F21" i="52"/>
  <c r="F22"/>
  <c r="F23"/>
  <c r="F26"/>
  <c r="F27"/>
  <c r="F28"/>
  <c r="F20"/>
  <c r="F15"/>
  <c r="F16"/>
  <c r="F17"/>
  <c r="A77" i="47"/>
  <c r="E18" i="67" l="1"/>
  <c r="D63" i="47"/>
  <c r="E23" i="67"/>
  <c r="D65" i="47"/>
  <c r="E24" i="67"/>
  <c r="E50" i="47"/>
  <c r="E89"/>
  <c r="F19" i="52"/>
  <c r="A21" i="17"/>
  <c r="A90" i="47" l="1"/>
  <c r="A65"/>
  <c r="A24" i="67" s="1"/>
  <c r="C20" i="63"/>
  <c r="D20"/>
  <c r="C17"/>
  <c r="D17"/>
  <c r="C11"/>
  <c r="C7"/>
  <c r="D14"/>
  <c r="D17" i="46"/>
  <c r="D20"/>
  <c r="D12"/>
  <c r="D11" s="1"/>
  <c r="C8"/>
  <c r="C7" s="1"/>
  <c r="F21" i="17"/>
  <c r="C17" i="46"/>
  <c r="D15"/>
  <c r="D14" s="1"/>
  <c r="C14"/>
  <c r="C11"/>
  <c r="C20"/>
  <c r="C44" i="1"/>
  <c r="C42"/>
  <c r="B43" i="55"/>
  <c r="B47" s="1"/>
  <c r="B39"/>
  <c r="D42" i="1"/>
  <c r="B42"/>
  <c r="E42"/>
  <c r="C39" i="55"/>
  <c r="C46" s="1"/>
  <c r="C43"/>
  <c r="D43"/>
  <c r="D47" s="1"/>
  <c r="E43"/>
  <c r="E47" s="1"/>
  <c r="E39"/>
  <c r="E46" s="1"/>
  <c r="D39"/>
  <c r="D46" s="1"/>
  <c r="E10" i="62"/>
  <c r="E9" s="1"/>
  <c r="D31" i="66"/>
  <c r="F18" i="52"/>
  <c r="F12"/>
  <c r="F9"/>
  <c r="E23" i="62"/>
  <c r="E19"/>
  <c r="E22"/>
  <c r="E26"/>
  <c r="E20"/>
  <c r="C27" i="66"/>
  <c r="D22" i="17"/>
  <c r="D21" s="1"/>
  <c r="E21" i="32"/>
  <c r="G21" i="20"/>
  <c r="B21" s="1"/>
  <c r="B20" s="1"/>
  <c r="B23"/>
  <c r="D61" i="47"/>
  <c r="G90"/>
  <c r="D17"/>
  <c r="D21"/>
  <c r="A61"/>
  <c r="A60" s="1"/>
  <c r="A63"/>
  <c r="A68"/>
  <c r="A70"/>
  <c r="A38"/>
  <c r="A16" i="67" s="1"/>
  <c r="A48" i="47"/>
  <c r="E17" i="63"/>
  <c r="E17" i="46"/>
  <c r="A33" i="33"/>
  <c r="I39" i="26"/>
  <c r="D11" i="17"/>
  <c r="C11" i="66"/>
  <c r="C9"/>
  <c r="C14"/>
  <c r="C31"/>
  <c r="C30" s="1"/>
  <c r="C35"/>
  <c r="C34" s="1"/>
  <c r="F10" i="52"/>
  <c r="F11"/>
  <c r="F13"/>
  <c r="F14"/>
  <c r="D20" i="49"/>
  <c r="E20"/>
  <c r="F20"/>
  <c r="G20"/>
  <c r="D20" i="68"/>
  <c r="E20"/>
  <c r="F20"/>
  <c r="G20"/>
  <c r="A9" i="47"/>
  <c r="A9" i="67" s="1"/>
  <c r="A10"/>
  <c r="A17" i="47"/>
  <c r="A11" i="67" s="1"/>
  <c r="A21" i="47"/>
  <c r="A13" i="67"/>
  <c r="A30" i="47"/>
  <c r="A14" i="67" s="1"/>
  <c r="A33" i="47"/>
  <c r="A15" i="67" s="1"/>
  <c r="B9" i="47"/>
  <c r="B13"/>
  <c r="B10" i="67" s="1"/>
  <c r="B17" i="47"/>
  <c r="B11" i="67" s="1"/>
  <c r="B21" i="47"/>
  <c r="B12" i="67" s="1"/>
  <c r="B25" i="47"/>
  <c r="B13" i="67" s="1"/>
  <c r="B14"/>
  <c r="B33" i="47"/>
  <c r="B38"/>
  <c r="B16" i="67" s="1"/>
  <c r="B48" i="47"/>
  <c r="A51"/>
  <c r="A20" i="67"/>
  <c r="B51" i="47"/>
  <c r="B54"/>
  <c r="B20" i="67" s="1"/>
  <c r="B63" i="47"/>
  <c r="B23" i="67" s="1"/>
  <c r="B65" i="47"/>
  <c r="B24" i="67" s="1"/>
  <c r="B68" i="47"/>
  <c r="B25" i="67" s="1"/>
  <c r="B70" i="47"/>
  <c r="B26" i="67" s="1"/>
  <c r="A73" i="47"/>
  <c r="A28" i="67" s="1"/>
  <c r="B73" i="47"/>
  <c r="B28" i="67" s="1"/>
  <c r="B75" i="47"/>
  <c r="B29" i="67" s="1"/>
  <c r="B77" i="47"/>
  <c r="B30" i="67" s="1"/>
  <c r="B79" i="47"/>
  <c r="B31" i="67" s="1"/>
  <c r="A75" i="47"/>
  <c r="A29" i="67" s="1"/>
  <c r="A79" i="47"/>
  <c r="A31" i="67" s="1"/>
  <c r="A82" i="47"/>
  <c r="G83"/>
  <c r="G82" s="1"/>
  <c r="A35" i="67"/>
  <c r="B84" i="47"/>
  <c r="B81" s="1"/>
  <c r="A89"/>
  <c r="B90"/>
  <c r="B89" s="1"/>
  <c r="A93"/>
  <c r="A92" s="1"/>
  <c r="A40" i="67" s="1"/>
  <c r="B93" i="47"/>
  <c r="B92" s="1"/>
  <c r="B40" i="67" s="1"/>
  <c r="G93" i="47"/>
  <c r="G92" s="1"/>
  <c r="A96"/>
  <c r="A95" s="1"/>
  <c r="G96"/>
  <c r="G95" s="1"/>
  <c r="B95"/>
  <c r="A12" i="67"/>
  <c r="A17"/>
  <c r="B15"/>
  <c r="B17"/>
  <c r="A23"/>
  <c r="A25"/>
  <c r="A26"/>
  <c r="B33"/>
  <c r="B22"/>
  <c r="A30"/>
  <c r="A34"/>
  <c r="A39"/>
  <c r="A38" s="1"/>
  <c r="A41"/>
  <c r="B41"/>
  <c r="E11" i="63"/>
  <c r="D15"/>
  <c r="E20"/>
  <c r="E11" i="46"/>
  <c r="E14"/>
  <c r="E20"/>
  <c r="C9" i="62"/>
  <c r="C11"/>
  <c r="C14"/>
  <c r="C21"/>
  <c r="C25"/>
  <c r="C31"/>
  <c r="C30" s="1"/>
  <c r="D9"/>
  <c r="D11"/>
  <c r="D14"/>
  <c r="D21"/>
  <c r="D25"/>
  <c r="D31"/>
  <c r="D30" s="1"/>
  <c r="E12"/>
  <c r="E13"/>
  <c r="E15"/>
  <c r="E14" s="1"/>
  <c r="E27"/>
  <c r="E32"/>
  <c r="E31" s="1"/>
  <c r="E30" s="1"/>
  <c r="H9"/>
  <c r="H15"/>
  <c r="H19"/>
  <c r="H18" s="1"/>
  <c r="I9"/>
  <c r="I15"/>
  <c r="I19"/>
  <c r="I18" s="1"/>
  <c r="J10"/>
  <c r="J11"/>
  <c r="J12"/>
  <c r="J14"/>
  <c r="J13"/>
  <c r="J16"/>
  <c r="J15" s="1"/>
  <c r="J20"/>
  <c r="J21"/>
  <c r="A9"/>
  <c r="A11"/>
  <c r="A14"/>
  <c r="F9"/>
  <c r="F15"/>
  <c r="F19"/>
  <c r="F18" s="1"/>
  <c r="A18"/>
  <c r="A21"/>
  <c r="A25"/>
  <c r="H31"/>
  <c r="H30" s="1"/>
  <c r="H25" s="1"/>
  <c r="I31"/>
  <c r="I30" s="1"/>
  <c r="I25" s="1"/>
  <c r="J32"/>
  <c r="J31" s="1"/>
  <c r="J30" s="1"/>
  <c r="J25" s="1"/>
  <c r="F27"/>
  <c r="F26" s="1"/>
  <c r="H27"/>
  <c r="H26"/>
  <c r="I27"/>
  <c r="I26" s="1"/>
  <c r="J28"/>
  <c r="J27" s="1"/>
  <c r="J26" s="1"/>
  <c r="A31"/>
  <c r="A30" s="1"/>
  <c r="F31"/>
  <c r="F30" s="1"/>
  <c r="F25" s="1"/>
  <c r="A35"/>
  <c r="A34" s="1"/>
  <c r="C35"/>
  <c r="C34" s="1"/>
  <c r="D35"/>
  <c r="D34" s="1"/>
  <c r="E36"/>
  <c r="E35" s="1"/>
  <c r="E34" s="1"/>
  <c r="A35" i="66"/>
  <c r="A34" s="1"/>
  <c r="A30"/>
  <c r="A27"/>
  <c r="A17" s="1"/>
  <c r="D9"/>
  <c r="D14"/>
  <c r="D11"/>
  <c r="D21"/>
  <c r="D24"/>
  <c r="D27"/>
  <c r="D18"/>
  <c r="D30"/>
  <c r="D35"/>
  <c r="D34" s="1"/>
  <c r="E10"/>
  <c r="E9" s="1"/>
  <c r="E15"/>
  <c r="E14" s="1"/>
  <c r="E12"/>
  <c r="E13"/>
  <c r="E20"/>
  <c r="E23"/>
  <c r="E26"/>
  <c r="E28"/>
  <c r="E27" s="1"/>
  <c r="E32"/>
  <c r="E31" s="1"/>
  <c r="E30" s="1"/>
  <c r="E36"/>
  <c r="E35" s="1"/>
  <c r="E34" s="1"/>
  <c r="A24"/>
  <c r="A50"/>
  <c r="C41"/>
  <c r="C47"/>
  <c r="C51"/>
  <c r="C50" s="1"/>
  <c r="D41"/>
  <c r="D47"/>
  <c r="D51"/>
  <c r="D50" s="1"/>
  <c r="D60"/>
  <c r="D59" s="1"/>
  <c r="D68"/>
  <c r="D67" s="1"/>
  <c r="E42"/>
  <c r="E43"/>
  <c r="E44"/>
  <c r="E45"/>
  <c r="E46"/>
  <c r="E48"/>
  <c r="E47" s="1"/>
  <c r="E52"/>
  <c r="E53"/>
  <c r="A68"/>
  <c r="A67" s="1"/>
  <c r="A60"/>
  <c r="A59" s="1"/>
  <c r="C68"/>
  <c r="C67" s="1"/>
  <c r="C60"/>
  <c r="C59" s="1"/>
  <c r="E69"/>
  <c r="E68" s="1"/>
  <c r="E67" s="1"/>
  <c r="E60"/>
  <c r="E59" s="1"/>
  <c r="B39" i="60"/>
  <c r="B39" i="39"/>
  <c r="G7" i="59"/>
  <c r="G8"/>
  <c r="E8" i="35"/>
  <c r="E9" i="59"/>
  <c r="E11" s="1"/>
  <c r="E14"/>
  <c r="F14"/>
  <c r="G7" i="38"/>
  <c r="G8"/>
  <c r="E14"/>
  <c r="F14"/>
  <c r="H12" i="35"/>
  <c r="D10" i="37"/>
  <c r="E10"/>
  <c r="F10"/>
  <c r="C11"/>
  <c r="Q11"/>
  <c r="G8" i="35"/>
  <c r="H10"/>
  <c r="A10" i="33"/>
  <c r="A11" i="32"/>
  <c r="A15" i="33"/>
  <c r="A20"/>
  <c r="B10"/>
  <c r="E10"/>
  <c r="E11" i="32" s="1"/>
  <c r="A13" i="33"/>
  <c r="B13"/>
  <c r="E13"/>
  <c r="E12" i="32" s="1"/>
  <c r="B15" i="33"/>
  <c r="E15"/>
  <c r="B20"/>
  <c r="B9" s="1"/>
  <c r="E20"/>
  <c r="E14" i="32"/>
  <c r="F20" i="33"/>
  <c r="F8" s="1"/>
  <c r="F23"/>
  <c r="A24"/>
  <c r="A23"/>
  <c r="B24"/>
  <c r="B23" s="1"/>
  <c r="E24"/>
  <c r="E23" s="1"/>
  <c r="G25"/>
  <c r="G26"/>
  <c r="A28"/>
  <c r="A27" s="1"/>
  <c r="A30"/>
  <c r="B28"/>
  <c r="E28"/>
  <c r="E18" i="32"/>
  <c r="B30" i="33"/>
  <c r="E30"/>
  <c r="E27" s="1"/>
  <c r="A35"/>
  <c r="A32" s="1"/>
  <c r="B33"/>
  <c r="E33"/>
  <c r="E32" s="1"/>
  <c r="B35"/>
  <c r="B32" s="1"/>
  <c r="E35"/>
  <c r="E22" i="32" s="1"/>
  <c r="A38" i="33"/>
  <c r="A37" s="1"/>
  <c r="A23" i="32" s="1"/>
  <c r="B38" i="33"/>
  <c r="E38"/>
  <c r="E37"/>
  <c r="E23" i="32" s="1"/>
  <c r="A41" i="33"/>
  <c r="B41"/>
  <c r="E41"/>
  <c r="E40" s="1"/>
  <c r="E25" i="32" s="1"/>
  <c r="A12"/>
  <c r="A13"/>
  <c r="A14"/>
  <c r="A18"/>
  <c r="A19"/>
  <c r="A21"/>
  <c r="A22"/>
  <c r="F14"/>
  <c r="F9" s="1"/>
  <c r="A24"/>
  <c r="E26"/>
  <c r="F9" i="53"/>
  <c r="A10"/>
  <c r="A11" i="29" s="1"/>
  <c r="A18" i="53"/>
  <c r="B10"/>
  <c r="B21"/>
  <c r="B18"/>
  <c r="E10"/>
  <c r="E11" i="29" s="1"/>
  <c r="F10" i="53"/>
  <c r="G11"/>
  <c r="G12"/>
  <c r="G13"/>
  <c r="A14"/>
  <c r="B14"/>
  <c r="E12" i="29"/>
  <c r="F14" i="53"/>
  <c r="G15"/>
  <c r="G16"/>
  <c r="E18"/>
  <c r="E13" i="29" s="1"/>
  <c r="F18" i="53"/>
  <c r="G19"/>
  <c r="G20"/>
  <c r="E21"/>
  <c r="E14" i="29" s="1"/>
  <c r="F21" i="53"/>
  <c r="G22"/>
  <c r="B23"/>
  <c r="E23"/>
  <c r="E15" i="29" s="1"/>
  <c r="G24" i="53"/>
  <c r="G25"/>
  <c r="G26"/>
  <c r="A27"/>
  <c r="A9" s="1"/>
  <c r="B27"/>
  <c r="E27"/>
  <c r="E16" i="29" s="1"/>
  <c r="G28" i="53"/>
  <c r="G29"/>
  <c r="A30"/>
  <c r="B30"/>
  <c r="E30"/>
  <c r="E9" s="1"/>
  <c r="F30"/>
  <c r="G31"/>
  <c r="G32"/>
  <c r="G33"/>
  <c r="A34"/>
  <c r="B34"/>
  <c r="B18" i="29" s="1"/>
  <c r="E34" i="53"/>
  <c r="F34"/>
  <c r="G35"/>
  <c r="A37"/>
  <c r="B37"/>
  <c r="E37"/>
  <c r="E20" i="29" s="1"/>
  <c r="G38" i="53"/>
  <c r="G39"/>
  <c r="A40"/>
  <c r="B40"/>
  <c r="E40"/>
  <c r="F40"/>
  <c r="F36" s="1"/>
  <c r="G41"/>
  <c r="G42"/>
  <c r="G43"/>
  <c r="G44"/>
  <c r="G45"/>
  <c r="A47"/>
  <c r="B47"/>
  <c r="B23" i="29" s="1"/>
  <c r="E47" i="53"/>
  <c r="E23" i="29" s="1"/>
  <c r="G48" i="53"/>
  <c r="A49"/>
  <c r="B49"/>
  <c r="E49"/>
  <c r="E24" i="29" s="1"/>
  <c r="F49" i="53"/>
  <c r="F46" s="1"/>
  <c r="G50"/>
  <c r="A51"/>
  <c r="A25" i="29" s="1"/>
  <c r="B51" i="53"/>
  <c r="B46" s="1"/>
  <c r="E51"/>
  <c r="F51"/>
  <c r="G52"/>
  <c r="F53"/>
  <c r="A54"/>
  <c r="A27" i="29" s="1"/>
  <c r="A26" s="1"/>
  <c r="B54" i="53"/>
  <c r="B53" s="1"/>
  <c r="B27" i="29" s="1"/>
  <c r="B26" s="1"/>
  <c r="E54" i="53"/>
  <c r="E53" s="1"/>
  <c r="F54"/>
  <c r="G55"/>
  <c r="A12" i="29"/>
  <c r="A16"/>
  <c r="A17"/>
  <c r="A18"/>
  <c r="A20"/>
  <c r="A21"/>
  <c r="A23"/>
  <c r="A24"/>
  <c r="B16"/>
  <c r="B20"/>
  <c r="B24"/>
  <c r="F9"/>
  <c r="F11"/>
  <c r="C8" i="24"/>
  <c r="F9" i="22"/>
  <c r="D10" i="17" s="1"/>
  <c r="A8" i="19"/>
  <c r="A18" s="1"/>
  <c r="B10" s="1"/>
  <c r="E12"/>
  <c r="E11" s="1"/>
  <c r="A9" i="17"/>
  <c r="A8" s="1"/>
  <c r="F9"/>
  <c r="F11"/>
  <c r="H13"/>
  <c r="I13" s="1"/>
  <c r="F15"/>
  <c r="F17"/>
  <c r="A15"/>
  <c r="A17"/>
  <c r="A23"/>
  <c r="A20" s="1"/>
  <c r="D23"/>
  <c r="F23"/>
  <c r="H24"/>
  <c r="H25"/>
  <c r="H26"/>
  <c r="I26" s="1"/>
  <c r="A28"/>
  <c r="A27" s="1"/>
  <c r="F28"/>
  <c r="B44" i="1"/>
  <c r="D44"/>
  <c r="E44"/>
  <c r="F39" i="55"/>
  <c r="F46" s="1"/>
  <c r="C47"/>
  <c r="E38" i="12"/>
  <c r="E40" s="1"/>
  <c r="C40"/>
  <c r="C44" s="1"/>
  <c r="E24" i="32"/>
  <c r="G54" i="53"/>
  <c r="G37"/>
  <c r="B12" i="36"/>
  <c r="G24" i="33"/>
  <c r="I8" i="62"/>
  <c r="D8"/>
  <c r="G49" i="53"/>
  <c r="E46"/>
  <c r="G47"/>
  <c r="G40"/>
  <c r="G27"/>
  <c r="G18"/>
  <c r="G23" i="67"/>
  <c r="D23" s="1"/>
  <c r="E19" i="32"/>
  <c r="E13"/>
  <c r="E21" i="29"/>
  <c r="C48" i="13"/>
  <c r="E25" i="29"/>
  <c r="E36" i="53"/>
  <c r="E18" i="29"/>
  <c r="G21" i="53"/>
  <c r="G10"/>
  <c r="D25" i="47"/>
  <c r="D14" i="59"/>
  <c r="D14" i="38"/>
  <c r="E16" i="32"/>
  <c r="E15" s="1"/>
  <c r="A16"/>
  <c r="A15" s="1"/>
  <c r="B43" i="67"/>
  <c r="B42" s="1"/>
  <c r="A19"/>
  <c r="A8" i="66"/>
  <c r="C40"/>
  <c r="A22" i="67" l="1"/>
  <c r="B17" i="17"/>
  <c r="F27"/>
  <c r="F20"/>
  <c r="A30"/>
  <c r="B20"/>
  <c r="B18"/>
  <c r="B26"/>
  <c r="B25"/>
  <c r="B13"/>
  <c r="E44" i="55"/>
  <c r="C44"/>
  <c r="A21" i="67"/>
  <c r="D17" i="66"/>
  <c r="A7"/>
  <c r="A37" s="1"/>
  <c r="G43" i="35"/>
  <c r="F9" i="38"/>
  <c r="F11" s="1"/>
  <c r="D9" i="59"/>
  <c r="D11" s="1"/>
  <c r="D9" i="38"/>
  <c r="N11" i="37"/>
  <c r="O11" s="1"/>
  <c r="F14" i="17"/>
  <c r="F8" i="22"/>
  <c r="E8" s="1"/>
  <c r="A33" i="67"/>
  <c r="A32" s="1"/>
  <c r="A81" i="47"/>
  <c r="A98" s="1"/>
  <c r="G43" i="67"/>
  <c r="G42" s="1"/>
  <c r="D42" s="1"/>
  <c r="E17" i="29"/>
  <c r="E10" s="1"/>
  <c r="L29" i="26"/>
  <c r="D69" i="47"/>
  <c r="E68"/>
  <c r="D74"/>
  <c r="E73"/>
  <c r="D71"/>
  <c r="E70"/>
  <c r="L39" i="26"/>
  <c r="L35"/>
  <c r="A58" i="66"/>
  <c r="D58"/>
  <c r="C58"/>
  <c r="B44" i="55"/>
  <c r="C42" i="12"/>
  <c r="C43"/>
  <c r="D90" i="47"/>
  <c r="G89"/>
  <c r="D85"/>
  <c r="G34" i="67"/>
  <c r="D34" s="1"/>
  <c r="E25" i="62"/>
  <c r="D17"/>
  <c r="C17"/>
  <c r="E21"/>
  <c r="B9" i="67"/>
  <c r="B8" s="1"/>
  <c r="B8" i="47"/>
  <c r="B35" i="67"/>
  <c r="D95" i="47"/>
  <c r="D96"/>
  <c r="D93"/>
  <c r="D83"/>
  <c r="D82" s="1"/>
  <c r="G39" i="67"/>
  <c r="G31"/>
  <c r="G30"/>
  <c r="G29"/>
  <c r="G26"/>
  <c r="G25"/>
  <c r="G17"/>
  <c r="G13"/>
  <c r="D13" s="1"/>
  <c r="G12"/>
  <c r="D12" s="1"/>
  <c r="G11"/>
  <c r="D11" s="1"/>
  <c r="B60" i="47"/>
  <c r="D40" i="66"/>
  <c r="D39" s="1"/>
  <c r="C8"/>
  <c r="A9" i="33"/>
  <c r="H8" i="35"/>
  <c r="H43" s="1"/>
  <c r="E51" i="66"/>
  <c r="E50" s="1"/>
  <c r="E41"/>
  <c r="E40" s="1"/>
  <c r="B17" i="20" s="1"/>
  <c r="E11" i="66"/>
  <c r="B16" i="20" s="1"/>
  <c r="F8" i="62"/>
  <c r="G41" i="67"/>
  <c r="D41" s="1"/>
  <c r="B39"/>
  <c r="B38" s="1"/>
  <c r="I35" i="26"/>
  <c r="G51" i="53"/>
  <c r="G34"/>
  <c r="A17" i="32"/>
  <c r="B27" i="33"/>
  <c r="B8" s="1"/>
  <c r="B69" s="1"/>
  <c r="B40" s="1"/>
  <c r="G23"/>
  <c r="E9"/>
  <c r="D8" i="66"/>
  <c r="J9" i="62"/>
  <c r="J8" s="1"/>
  <c r="D54" i="47"/>
  <c r="D51"/>
  <c r="B8" i="19"/>
  <c r="B36" i="53"/>
  <c r="A36"/>
  <c r="G30"/>
  <c r="G23"/>
  <c r="E19" i="29"/>
  <c r="G46" i="53"/>
  <c r="A46"/>
  <c r="F8"/>
  <c r="G36"/>
  <c r="E8"/>
  <c r="E75" s="1"/>
  <c r="G14"/>
  <c r="G24" i="67"/>
  <c r="D24" s="1"/>
  <c r="I23" i="26"/>
  <c r="I20"/>
  <c r="D30" i="47"/>
  <c r="N12" i="37"/>
  <c r="P12" s="1"/>
  <c r="P10" s="1"/>
  <c r="E43" i="35"/>
  <c r="D11" i="38"/>
  <c r="B13" i="36"/>
  <c r="B10" s="1"/>
  <c r="B44" s="1"/>
  <c r="F9" i="59"/>
  <c r="F11" s="1"/>
  <c r="G14" i="20"/>
  <c r="B14" s="1"/>
  <c r="L20" i="26"/>
  <c r="D89" i="47"/>
  <c r="G15" i="59"/>
  <c r="A20" i="32"/>
  <c r="B21" i="67"/>
  <c r="A40" i="33"/>
  <c r="I10" i="26"/>
  <c r="A14" i="17"/>
  <c r="A19" s="1"/>
  <c r="H11"/>
  <c r="I11" s="1"/>
  <c r="H22"/>
  <c r="I22" s="1"/>
  <c r="F8"/>
  <c r="G23" s="1"/>
  <c r="D12" i="63"/>
  <c r="D11" s="1"/>
  <c r="H23" i="17"/>
  <c r="I23" s="1"/>
  <c r="D33" i="47"/>
  <c r="F12" i="36"/>
  <c r="M12" s="1"/>
  <c r="G14" i="38"/>
  <c r="B10" i="29"/>
  <c r="E20" i="32"/>
  <c r="F20" i="26"/>
  <c r="G15" i="38"/>
  <c r="B19" i="29"/>
  <c r="F8" i="52"/>
  <c r="C39" i="66"/>
  <c r="B25" i="20"/>
  <c r="E58" i="66"/>
  <c r="B34" i="67"/>
  <c r="B72" i="47"/>
  <c r="B50"/>
  <c r="B19" i="67"/>
  <c r="B18" s="1"/>
  <c r="A43"/>
  <c r="A42" s="1"/>
  <c r="A27"/>
  <c r="A72" i="47"/>
  <c r="A18" i="67"/>
  <c r="A50" i="47"/>
  <c r="A8" i="67"/>
  <c r="A8" i="47"/>
  <c r="G53" i="53"/>
  <c r="E27" i="29"/>
  <c r="E26" s="1"/>
  <c r="D9" i="17"/>
  <c r="H10"/>
  <c r="I10" s="1"/>
  <c r="L10" i="26"/>
  <c r="E11" i="38"/>
  <c r="F30" i="17"/>
  <c r="E8" i="33"/>
  <c r="E69" s="1"/>
  <c r="E10" i="32"/>
  <c r="B9" i="19"/>
  <c r="B25" i="29"/>
  <c r="B22" s="1"/>
  <c r="A19"/>
  <c r="H8" i="62"/>
  <c r="E11"/>
  <c r="E8" s="1"/>
  <c r="D9" i="47"/>
  <c r="D38"/>
  <c r="B46" i="55"/>
  <c r="A22" i="29"/>
  <c r="B9" i="53"/>
  <c r="A10" i="29"/>
  <c r="F35" i="26"/>
  <c r="E22" i="29"/>
  <c r="A53" i="53"/>
  <c r="E17" i="32"/>
  <c r="A10"/>
  <c r="F29" i="26"/>
  <c r="G14" i="59"/>
  <c r="F23" i="26"/>
  <c r="I7" i="62"/>
  <c r="B27" i="67"/>
  <c r="D13" i="47"/>
  <c r="E18" i="62"/>
  <c r="E17" s="1"/>
  <c r="G28" i="67"/>
  <c r="G22"/>
  <c r="D22" s="1"/>
  <c r="H21" i="17"/>
  <c r="I21" s="1"/>
  <c r="D20"/>
  <c r="J19" i="62"/>
  <c r="J18" s="1"/>
  <c r="F7"/>
  <c r="D7"/>
  <c r="D37" s="1"/>
  <c r="C8"/>
  <c r="C7" s="1"/>
  <c r="C37" s="1"/>
  <c r="A17"/>
  <c r="A8"/>
  <c r="C22" i="66" l="1"/>
  <c r="E22" s="1"/>
  <c r="E21" s="1"/>
  <c r="C22" i="87"/>
  <c r="C19" i="66"/>
  <c r="E19" s="1"/>
  <c r="E18" s="1"/>
  <c r="C19" i="87"/>
  <c r="A65" i="67"/>
  <c r="G28" i="17"/>
  <c r="G24"/>
  <c r="G29"/>
  <c r="G12"/>
  <c r="G26"/>
  <c r="G13"/>
  <c r="G25"/>
  <c r="G18"/>
  <c r="G11"/>
  <c r="G17"/>
  <c r="G27"/>
  <c r="E8" i="66"/>
  <c r="D43" i="67"/>
  <c r="D7" i="66"/>
  <c r="D37" s="1"/>
  <c r="B11" i="17"/>
  <c r="B28"/>
  <c r="G14"/>
  <c r="G20"/>
  <c r="G16"/>
  <c r="L8" i="26"/>
  <c r="K8" s="1"/>
  <c r="B32" i="67"/>
  <c r="B65" s="1"/>
  <c r="E28"/>
  <c r="D28" s="1"/>
  <c r="D73" i="47"/>
  <c r="D80"/>
  <c r="E79"/>
  <c r="E25" i="67"/>
  <c r="E60" i="47"/>
  <c r="D60" s="1"/>
  <c r="D68"/>
  <c r="E26" i="67"/>
  <c r="D26" s="1"/>
  <c r="D70" i="47"/>
  <c r="E48"/>
  <c r="D49"/>
  <c r="D76"/>
  <c r="E75"/>
  <c r="D78"/>
  <c r="E77"/>
  <c r="F10" i="26"/>
  <c r="B27" i="17"/>
  <c r="B12"/>
  <c r="G9"/>
  <c r="B15"/>
  <c r="B21"/>
  <c r="B29"/>
  <c r="B10"/>
  <c r="B14"/>
  <c r="B22"/>
  <c r="C21" i="66"/>
  <c r="C24"/>
  <c r="E25"/>
  <c r="E24" s="1"/>
  <c r="H7" i="62"/>
  <c r="H37" s="1"/>
  <c r="A7"/>
  <c r="A37" s="1"/>
  <c r="G38" i="67"/>
  <c r="D38" s="1"/>
  <c r="D39"/>
  <c r="D86" i="47"/>
  <c r="D84" s="1"/>
  <c r="D81" s="1"/>
  <c r="G98"/>
  <c r="B98"/>
  <c r="G33" i="67"/>
  <c r="D33" s="1"/>
  <c r="G40"/>
  <c r="D40" s="1"/>
  <c r="D92" i="47"/>
  <c r="G21" i="67"/>
  <c r="G35"/>
  <c r="G27"/>
  <c r="G20"/>
  <c r="D20" s="1"/>
  <c r="G19"/>
  <c r="D19" s="1"/>
  <c r="G16"/>
  <c r="D16" s="1"/>
  <c r="G15"/>
  <c r="D15" s="1"/>
  <c r="G14"/>
  <c r="D14" s="1"/>
  <c r="G10"/>
  <c r="D10" s="1"/>
  <c r="G9"/>
  <c r="D9" s="1"/>
  <c r="E39" i="66"/>
  <c r="E71" s="1"/>
  <c r="D71"/>
  <c r="I37" i="62"/>
  <c r="B9" i="29"/>
  <c r="B8" s="1"/>
  <c r="B33" s="1"/>
  <c r="D50" i="47"/>
  <c r="A8" i="53"/>
  <c r="A75" s="1"/>
  <c r="G22" i="17"/>
  <c r="B16"/>
  <c r="B8"/>
  <c r="B9"/>
  <c r="B23"/>
  <c r="B24"/>
  <c r="I9" i="26"/>
  <c r="I59" s="1"/>
  <c r="F29" i="52"/>
  <c r="A9" i="29"/>
  <c r="A8" s="1"/>
  <c r="A33" s="1"/>
  <c r="A71" i="66"/>
  <c r="N10" i="37"/>
  <c r="G9" i="38"/>
  <c r="G11" s="1"/>
  <c r="C12" i="37"/>
  <c r="B12" s="1"/>
  <c r="G9" i="59"/>
  <c r="G11" s="1"/>
  <c r="F13" i="36"/>
  <c r="B10" i="20"/>
  <c r="E9" i="29"/>
  <c r="D18" i="17" s="1"/>
  <c r="G12" i="36"/>
  <c r="E9" i="32"/>
  <c r="D29" i="17" s="1"/>
  <c r="A8" i="33"/>
  <c r="F19" i="17"/>
  <c r="G19" s="1"/>
  <c r="G15"/>
  <c r="G10"/>
  <c r="G30"/>
  <c r="G8"/>
  <c r="B19"/>
  <c r="G21"/>
  <c r="L12" i="36"/>
  <c r="F9" i="26"/>
  <c r="D16" i="17" s="1"/>
  <c r="J7" i="62"/>
  <c r="J37" s="1"/>
  <c r="C71" i="66"/>
  <c r="B37" i="33"/>
  <c r="F37" i="62"/>
  <c r="H9" i="17"/>
  <c r="I9" s="1"/>
  <c r="D8"/>
  <c r="E12" s="1"/>
  <c r="B30"/>
  <c r="G9" i="53"/>
  <c r="B8"/>
  <c r="H20" i="17"/>
  <c r="I20" s="1"/>
  <c r="E7" i="62"/>
  <c r="E37" s="1"/>
  <c r="C18" i="66" l="1"/>
  <c r="C17" s="1"/>
  <c r="C7" s="1"/>
  <c r="C37" s="1"/>
  <c r="C21" i="87"/>
  <c r="E22"/>
  <c r="E21" s="1"/>
  <c r="C18"/>
  <c r="E19"/>
  <c r="E18" s="1"/>
  <c r="E17" i="66"/>
  <c r="E7" s="1"/>
  <c r="E37" s="1"/>
  <c r="E72" i="47"/>
  <c r="D72" s="1"/>
  <c r="E21" i="67"/>
  <c r="D21" s="1"/>
  <c r="E30"/>
  <c r="D30" s="1"/>
  <c r="D77" i="47"/>
  <c r="E31" i="67"/>
  <c r="D31" s="1"/>
  <c r="D79" i="47"/>
  <c r="D25" i="67"/>
  <c r="E29"/>
  <c r="D29" s="1"/>
  <c r="D75" i="47"/>
  <c r="E17" i="67"/>
  <c r="E8" i="47"/>
  <c r="D48"/>
  <c r="D17" i="17"/>
  <c r="E17" s="1"/>
  <c r="E18"/>
  <c r="E9"/>
  <c r="E13"/>
  <c r="E11"/>
  <c r="I8" i="26"/>
  <c r="H8" s="1"/>
  <c r="G32" i="67"/>
  <c r="D32" s="1"/>
  <c r="D35"/>
  <c r="G18"/>
  <c r="D18" s="1"/>
  <c r="G8"/>
  <c r="C10" i="37"/>
  <c r="F31" i="17"/>
  <c r="G31" s="1"/>
  <c r="L59" i="26"/>
  <c r="E8" i="32"/>
  <c r="E34" s="1"/>
  <c r="E8" i="29"/>
  <c r="E33" s="1"/>
  <c r="G13" i="36"/>
  <c r="M13"/>
  <c r="L13"/>
  <c r="F10"/>
  <c r="M10" s="1"/>
  <c r="M44" s="1"/>
  <c r="O12" i="37"/>
  <c r="Q12"/>
  <c r="B10"/>
  <c r="A9" i="32"/>
  <c r="A8" s="1"/>
  <c r="A34" s="1"/>
  <c r="A69" i="33"/>
  <c r="A31" i="17"/>
  <c r="B31" s="1"/>
  <c r="F59" i="26"/>
  <c r="E20" i="17"/>
  <c r="H18"/>
  <c r="I18" s="1"/>
  <c r="F8" i="26"/>
  <c r="E8" s="1"/>
  <c r="B75" i="53"/>
  <c r="G8"/>
  <c r="E22" i="17"/>
  <c r="E23"/>
  <c r="E8"/>
  <c r="E25"/>
  <c r="E24"/>
  <c r="E26"/>
  <c r="H8"/>
  <c r="I8" s="1"/>
  <c r="E10"/>
  <c r="E21"/>
  <c r="B34" i="32"/>
  <c r="E16" i="17"/>
  <c r="H16"/>
  <c r="I16" s="1"/>
  <c r="E8" i="63"/>
  <c r="E8" i="46"/>
  <c r="D15" i="17"/>
  <c r="E39" i="13" s="1"/>
  <c r="E29" i="17"/>
  <c r="D28"/>
  <c r="H29"/>
  <c r="I29" s="1"/>
  <c r="E38" i="13" l="1"/>
  <c r="C17" i="87"/>
  <c r="C7" s="1"/>
  <c r="C37" s="1"/>
  <c r="E17"/>
  <c r="E7" s="1"/>
  <c r="E37" s="1"/>
  <c r="H17" i="17"/>
  <c r="I17" s="1"/>
  <c r="E98" i="47"/>
  <c r="D98" s="1"/>
  <c r="D8"/>
  <c r="E8" i="67"/>
  <c r="D8" s="1"/>
  <c r="D17"/>
  <c r="E27"/>
  <c r="D27" s="1"/>
  <c r="G65"/>
  <c r="F44" i="36"/>
  <c r="L10"/>
  <c r="L44" s="1"/>
  <c r="G10"/>
  <c r="G44" s="1"/>
  <c r="Q10" i="37"/>
  <c r="O10"/>
  <c r="E7" i="63"/>
  <c r="D8"/>
  <c r="D7" s="1"/>
  <c r="D8" i="46"/>
  <c r="D7" s="1"/>
  <c r="E7"/>
  <c r="H15" i="17"/>
  <c r="I15" s="1"/>
  <c r="D14"/>
  <c r="F41" i="55" s="1"/>
  <c r="F43" s="1"/>
  <c r="E15" i="17"/>
  <c r="E28"/>
  <c r="H28"/>
  <c r="I28" s="1"/>
  <c r="D27"/>
  <c r="F47" i="55" l="1"/>
  <c r="F44"/>
  <c r="E65" i="67"/>
  <c r="D65" s="1"/>
  <c r="H27" i="17"/>
  <c r="I27" s="1"/>
  <c r="E27"/>
  <c r="D30"/>
  <c r="E14"/>
  <c r="H14"/>
  <c r="I14" s="1"/>
  <c r="D19"/>
  <c r="E19" l="1"/>
  <c r="H19"/>
  <c r="I19" s="1"/>
  <c r="D31"/>
  <c r="E43" i="13" s="1"/>
  <c r="H30" i="17"/>
  <c r="I30" s="1"/>
  <c r="E30"/>
  <c r="E44" i="13" l="1"/>
  <c r="E49" s="1"/>
  <c r="H31" i="17"/>
  <c r="I31" s="1"/>
  <c r="E31"/>
  <c r="E9" i="19"/>
  <c r="B9" i="20"/>
  <c r="B18" s="1"/>
  <c r="B33" s="1"/>
  <c r="B35" s="1"/>
  <c r="E47" i="13" l="1"/>
  <c r="E48"/>
  <c r="E46"/>
  <c r="E8" i="19"/>
  <c r="F20" l="1"/>
  <c r="F19"/>
  <c r="F21"/>
  <c r="F24"/>
  <c r="F25"/>
  <c r="F15"/>
  <c r="E18"/>
  <c r="F23"/>
  <c r="F10"/>
  <c r="F11"/>
  <c r="F12"/>
  <c r="F13"/>
  <c r="F26"/>
  <c r="F8"/>
  <c r="F16"/>
  <c r="F22"/>
  <c r="F9"/>
  <c r="F18" l="1"/>
  <c r="C37" i="14"/>
  <c r="F41" i="1"/>
  <c r="F42" l="1"/>
  <c r="F44"/>
  <c r="E37" i="14"/>
  <c r="E40" s="1"/>
  <c r="C40"/>
</calcChain>
</file>

<file path=xl/comments1.xml><?xml version="1.0" encoding="utf-8"?>
<comments xmlns="http://schemas.openxmlformats.org/spreadsheetml/2006/main">
  <authors>
    <author>000618</author>
  </authors>
  <commentList>
    <comment ref="C11" authorId="0">
      <text>
        <r>
          <rPr>
            <b/>
            <sz val="9"/>
            <color indexed="81"/>
            <rFont val="Tahoma"/>
            <family val="2"/>
          </rPr>
          <t>000618:</t>
        </r>
        <r>
          <rPr>
            <sz val="9"/>
            <color indexed="81"/>
            <rFont val="Tahoma"/>
            <family val="2"/>
          </rPr>
          <t xml:space="preserve">
2</t>
        </r>
        <r>
          <rPr>
            <sz val="9"/>
            <color indexed="81"/>
            <rFont val="細明體"/>
            <family val="3"/>
            <charset val="136"/>
          </rPr>
          <t>年決算平均</t>
        </r>
      </text>
    </comment>
    <comment ref="D23" authorId="0">
      <text>
        <r>
          <rPr>
            <b/>
            <sz val="9"/>
            <color indexed="81"/>
            <rFont val="Tahoma"/>
            <family val="2"/>
          </rPr>
          <t>000618:</t>
        </r>
        <r>
          <rPr>
            <sz val="9"/>
            <color indexed="81"/>
            <rFont val="Tahoma"/>
            <family val="2"/>
          </rPr>
          <t xml:space="preserve">
</t>
        </r>
        <r>
          <rPr>
            <sz val="9"/>
            <color indexed="81"/>
            <rFont val="細明體"/>
            <family val="3"/>
            <charset val="136"/>
          </rPr>
          <t>以</t>
        </r>
        <r>
          <rPr>
            <sz val="9"/>
            <color indexed="81"/>
            <rFont val="Tahoma"/>
            <family val="2"/>
          </rPr>
          <t>4</t>
        </r>
        <r>
          <rPr>
            <sz val="9"/>
            <color indexed="81"/>
            <rFont val="細明體"/>
            <family val="3"/>
            <charset val="136"/>
          </rPr>
          <t>月折舊數估計至年底累折</t>
        </r>
      </text>
    </comment>
  </commentList>
</comments>
</file>

<file path=xl/comments2.xml><?xml version="1.0" encoding="utf-8"?>
<comments xmlns="http://schemas.openxmlformats.org/spreadsheetml/2006/main">
  <authors>
    <author>000618</author>
  </authors>
  <commentList>
    <comment ref="C11" authorId="0">
      <text>
        <r>
          <rPr>
            <b/>
            <sz val="9"/>
            <color indexed="81"/>
            <rFont val="Tahoma"/>
            <family val="2"/>
          </rPr>
          <t>000618:</t>
        </r>
        <r>
          <rPr>
            <sz val="9"/>
            <color indexed="81"/>
            <rFont val="Tahoma"/>
            <family val="2"/>
          </rPr>
          <t xml:space="preserve">
2</t>
        </r>
        <r>
          <rPr>
            <sz val="9"/>
            <color indexed="81"/>
            <rFont val="細明體"/>
            <family val="3"/>
            <charset val="136"/>
          </rPr>
          <t>年決算平均</t>
        </r>
      </text>
    </comment>
    <comment ref="D23" authorId="0">
      <text>
        <r>
          <rPr>
            <b/>
            <sz val="9"/>
            <color indexed="81"/>
            <rFont val="Tahoma"/>
            <family val="2"/>
          </rPr>
          <t>000618:</t>
        </r>
        <r>
          <rPr>
            <sz val="9"/>
            <color indexed="81"/>
            <rFont val="Tahoma"/>
            <family val="2"/>
          </rPr>
          <t xml:space="preserve">
</t>
        </r>
        <r>
          <rPr>
            <sz val="9"/>
            <color indexed="81"/>
            <rFont val="細明體"/>
            <family val="3"/>
            <charset val="136"/>
          </rPr>
          <t>以</t>
        </r>
        <r>
          <rPr>
            <sz val="9"/>
            <color indexed="81"/>
            <rFont val="Tahoma"/>
            <family val="2"/>
          </rPr>
          <t>4</t>
        </r>
        <r>
          <rPr>
            <sz val="9"/>
            <color indexed="81"/>
            <rFont val="細明體"/>
            <family val="3"/>
            <charset val="136"/>
          </rPr>
          <t>月折舊數估計至年底累折</t>
        </r>
      </text>
    </comment>
  </commentList>
</comments>
</file>

<file path=xl/sharedStrings.xml><?xml version="1.0" encoding="utf-8"?>
<sst xmlns="http://schemas.openxmlformats.org/spreadsheetml/2006/main" count="1514" uniqueCount="1151">
  <si>
    <t xml:space="preserve">  一般服務費</t>
    <phoneticPr fontId="2" type="noConversion"/>
  </si>
  <si>
    <r>
      <t xml:space="preserve">       </t>
    </r>
    <r>
      <rPr>
        <sz val="11"/>
        <color indexed="8"/>
        <rFont val="標楷體"/>
        <family val="4"/>
        <charset val="136"/>
      </rPr>
      <t>佣金、匯費、經理費及手續費</t>
    </r>
    <phoneticPr fontId="2" type="noConversion"/>
  </si>
  <si>
    <r>
      <t xml:space="preserve">       </t>
    </r>
    <r>
      <rPr>
        <sz val="11"/>
        <color indexed="8"/>
        <rFont val="標楷體"/>
        <family val="4"/>
        <charset val="136"/>
      </rPr>
      <t>外包費</t>
    </r>
    <phoneticPr fontId="2" type="noConversion"/>
  </si>
  <si>
    <r>
      <t xml:space="preserve">       </t>
    </r>
    <r>
      <rPr>
        <sz val="11"/>
        <color indexed="8"/>
        <rFont val="標楷體"/>
        <family val="4"/>
        <charset val="136"/>
      </rPr>
      <t>計時與計件人員酬金</t>
    </r>
    <phoneticPr fontId="2" type="noConversion"/>
  </si>
  <si>
    <r>
      <t xml:space="preserve">    </t>
    </r>
    <r>
      <rPr>
        <sz val="12"/>
        <color indexed="8"/>
        <rFont val="標楷體"/>
        <family val="4"/>
        <charset val="136"/>
      </rPr>
      <t>專業服務費</t>
    </r>
    <phoneticPr fontId="2" type="noConversion"/>
  </si>
  <si>
    <r>
      <t xml:space="preserve">        </t>
    </r>
    <r>
      <rPr>
        <sz val="11"/>
        <color indexed="8"/>
        <rFont val="標楷體"/>
        <family val="4"/>
        <charset val="136"/>
      </rPr>
      <t>講課鐘點、稿費、出席審查及查詢費</t>
    </r>
    <phoneticPr fontId="2" type="noConversion"/>
  </si>
  <si>
    <t>材料及用品費</t>
    <phoneticPr fontId="2" type="noConversion"/>
  </si>
  <si>
    <r>
      <t xml:space="preserve">    </t>
    </r>
    <r>
      <rPr>
        <sz val="12"/>
        <color indexed="8"/>
        <rFont val="標楷體"/>
        <family val="4"/>
        <charset val="136"/>
      </rPr>
      <t>使用材料費</t>
    </r>
    <phoneticPr fontId="2" type="noConversion"/>
  </si>
  <si>
    <r>
      <t xml:space="preserve">        </t>
    </r>
    <r>
      <rPr>
        <sz val="11"/>
        <color indexed="8"/>
        <rFont val="標楷體"/>
        <family val="4"/>
        <charset val="136"/>
      </rPr>
      <t>物料</t>
    </r>
    <phoneticPr fontId="2" type="noConversion"/>
  </si>
  <si>
    <r>
      <t xml:space="preserve">        </t>
    </r>
    <r>
      <rPr>
        <sz val="11"/>
        <color indexed="8"/>
        <rFont val="標楷體"/>
        <family val="4"/>
        <charset val="136"/>
      </rPr>
      <t>燃料</t>
    </r>
    <phoneticPr fontId="2" type="noConversion"/>
  </si>
  <si>
    <t xml:space="preserve">  用品消耗</t>
    <phoneticPr fontId="2" type="noConversion"/>
  </si>
  <si>
    <t xml:space="preserve">    食品</t>
    <phoneticPr fontId="2" type="noConversion"/>
  </si>
  <si>
    <r>
      <t xml:space="preserve">        </t>
    </r>
    <r>
      <rPr>
        <sz val="11"/>
        <color indexed="8"/>
        <rFont val="標楷體"/>
        <family val="4"/>
        <charset val="136"/>
      </rPr>
      <t>其他</t>
    </r>
    <phoneticPr fontId="2" type="noConversion"/>
  </si>
  <si>
    <t>租金與利息</t>
    <phoneticPr fontId="2" type="noConversion"/>
  </si>
  <si>
    <r>
      <t xml:space="preserve">        </t>
    </r>
    <r>
      <rPr>
        <sz val="11"/>
        <color indexed="8"/>
        <rFont val="標楷體"/>
        <family val="4"/>
        <charset val="136"/>
      </rPr>
      <t>一般房屋租金</t>
    </r>
    <phoneticPr fontId="2" type="noConversion"/>
  </si>
  <si>
    <r>
      <t xml:space="preserve">         </t>
    </r>
    <r>
      <rPr>
        <sz val="11"/>
        <color indexed="8"/>
        <rFont val="標楷體"/>
        <family val="4"/>
        <charset val="136"/>
      </rPr>
      <t>車租</t>
    </r>
    <phoneticPr fontId="2" type="noConversion"/>
  </si>
  <si>
    <r>
      <t xml:space="preserve">     </t>
    </r>
    <r>
      <rPr>
        <sz val="12"/>
        <color indexed="8"/>
        <rFont val="標楷體"/>
        <family val="4"/>
        <charset val="136"/>
      </rPr>
      <t>什項設備租金</t>
    </r>
    <phoneticPr fontId="2" type="noConversion"/>
  </si>
  <si>
    <r>
      <t xml:space="preserve">         </t>
    </r>
    <r>
      <rPr>
        <sz val="11"/>
        <color indexed="8"/>
        <rFont val="標楷體"/>
        <family val="4"/>
        <charset val="136"/>
      </rPr>
      <t>什項設備租金</t>
    </r>
    <phoneticPr fontId="2" type="noConversion"/>
  </si>
  <si>
    <r>
      <t>合</t>
    </r>
    <r>
      <rPr>
        <sz val="12"/>
        <color indexed="8"/>
        <rFont val="Times New Roman"/>
        <family val="1"/>
      </rPr>
      <t xml:space="preserve">           </t>
    </r>
    <r>
      <rPr>
        <sz val="12"/>
        <color indexed="8"/>
        <rFont val="標楷體"/>
        <family val="4"/>
        <charset val="136"/>
      </rPr>
      <t>計</t>
    </r>
    <phoneticPr fontId="2" type="noConversion"/>
  </si>
  <si>
    <t>其他業務成本明細表</t>
    <phoneticPr fontId="2" type="noConversion"/>
  </si>
  <si>
    <t>雜項業務成本</t>
    <phoneticPr fontId="2" type="noConversion"/>
  </si>
  <si>
    <r>
      <t xml:space="preserve">    </t>
    </r>
    <r>
      <rPr>
        <sz val="12"/>
        <color indexed="8"/>
        <rFont val="標楷體"/>
        <family val="4"/>
        <charset val="136"/>
      </rPr>
      <t>消費與行為稅</t>
    </r>
    <phoneticPr fontId="2" type="noConversion"/>
  </si>
  <si>
    <r>
      <t xml:space="preserve">        </t>
    </r>
    <r>
      <rPr>
        <sz val="11"/>
        <color indexed="8"/>
        <rFont val="標楷體"/>
        <family val="4"/>
        <charset val="136"/>
      </rPr>
      <t>營業稅</t>
    </r>
    <phoneticPr fontId="2" type="noConversion"/>
  </si>
  <si>
    <t xml:space="preserve">      消費與行為稅</t>
    <phoneticPr fontId="2" type="noConversion"/>
  </si>
  <si>
    <r>
      <t xml:space="preserve">    </t>
    </r>
    <r>
      <rPr>
        <sz val="12"/>
        <color indexed="8"/>
        <rFont val="標楷體"/>
        <family val="4"/>
        <charset val="136"/>
      </rPr>
      <t>房租</t>
    </r>
    <phoneticPr fontId="2" type="noConversion"/>
  </si>
  <si>
    <t xml:space="preserve">      房租</t>
    <phoneticPr fontId="2" type="noConversion"/>
  </si>
  <si>
    <t xml:space="preserve">      交通及運輸設備租金</t>
    <phoneticPr fontId="2" type="noConversion"/>
  </si>
  <si>
    <t>　一般服務費</t>
    <phoneticPr fontId="2" type="noConversion"/>
  </si>
  <si>
    <t>　　交通及運輸設備折舊</t>
    <phoneticPr fontId="2" type="noConversion"/>
  </si>
  <si>
    <t>　　什項設備折舊</t>
    <phoneticPr fontId="2" type="noConversion"/>
  </si>
  <si>
    <t>　房屋稅</t>
    <phoneticPr fontId="2" type="noConversion"/>
  </si>
  <si>
    <t>　水電費</t>
    <phoneticPr fontId="2" type="noConversion"/>
  </si>
  <si>
    <t>　　工作場所電費</t>
    <phoneticPr fontId="2" type="noConversion"/>
  </si>
  <si>
    <t>　　工作場所水費</t>
    <phoneticPr fontId="2" type="noConversion"/>
  </si>
  <si>
    <t>　　印刷及裝訂費</t>
    <phoneticPr fontId="2" type="noConversion"/>
  </si>
  <si>
    <t>　修理保養及保固費</t>
    <phoneticPr fontId="2" type="noConversion"/>
  </si>
  <si>
    <t>　　一般房屋修護費</t>
    <phoneticPr fontId="2" type="noConversion"/>
  </si>
  <si>
    <t>　　機械及設備修護費</t>
    <phoneticPr fontId="2" type="noConversion"/>
  </si>
  <si>
    <t>　　什項設備修護費</t>
    <phoneticPr fontId="2" type="noConversion"/>
  </si>
  <si>
    <t>　　佣金、匯費、經理費及手續費</t>
    <phoneticPr fontId="2" type="noConversion"/>
  </si>
  <si>
    <t>　　外包費</t>
    <phoneticPr fontId="2" type="noConversion"/>
  </si>
  <si>
    <t>　用品消耗</t>
    <phoneticPr fontId="2" type="noConversion"/>
  </si>
  <si>
    <t>　　辦公（事務）用品</t>
    <phoneticPr fontId="2" type="noConversion"/>
  </si>
  <si>
    <t>　交通及運輸設備折舊</t>
    <phoneticPr fontId="2" type="noConversion"/>
  </si>
  <si>
    <t>　什項設備折舊</t>
    <phoneticPr fontId="2" type="noConversion"/>
  </si>
  <si>
    <t>　　一般房屋稅</t>
    <phoneticPr fontId="2" type="noConversion"/>
  </si>
  <si>
    <t xml:space="preserve">    材料及用品費</t>
    <phoneticPr fontId="2" type="noConversion"/>
  </si>
  <si>
    <t xml:space="preserve">      用品消耗</t>
    <phoneticPr fontId="2" type="noConversion"/>
  </si>
  <si>
    <t xml:space="preserve">  地租及水租</t>
    <phoneticPr fontId="2" type="noConversion"/>
  </si>
  <si>
    <t xml:space="preserve">    場地租金</t>
    <phoneticPr fontId="2" type="noConversion"/>
  </si>
  <si>
    <t xml:space="preserve">  消費與行為稅</t>
    <phoneticPr fontId="2" type="noConversion"/>
  </si>
  <si>
    <t>其他</t>
    <phoneticPr fontId="2" type="noConversion"/>
  </si>
  <si>
    <t xml:space="preserve">  其他費用</t>
    <phoneticPr fontId="2" type="noConversion"/>
  </si>
  <si>
    <t xml:space="preserve">    其他</t>
    <phoneticPr fontId="2" type="noConversion"/>
  </si>
  <si>
    <t xml:space="preserve">    交通及運輸設備修護費</t>
    <phoneticPr fontId="2" type="noConversion"/>
  </si>
  <si>
    <t xml:space="preserve">    責任保險費</t>
    <phoneticPr fontId="2" type="noConversion"/>
  </si>
  <si>
    <t>本年度預算數</t>
    <phoneticPr fontId="14" type="noConversion"/>
  </si>
  <si>
    <t>上年度預算數</t>
    <phoneticPr fontId="14" type="noConversion"/>
  </si>
  <si>
    <t>科　　　　　目</t>
    <phoneticPr fontId="2" type="noConversion"/>
  </si>
  <si>
    <t>分年性項目</t>
    <phoneticPr fontId="14" type="noConversion"/>
  </si>
  <si>
    <t>一次性項目</t>
    <phoneticPr fontId="14" type="noConversion"/>
  </si>
  <si>
    <t>前年度
決算數</t>
    <phoneticPr fontId="2" type="noConversion"/>
  </si>
  <si>
    <t>上年度預算數</t>
    <phoneticPr fontId="2" type="noConversion"/>
  </si>
  <si>
    <t>科目及業務計畫項目</t>
    <phoneticPr fontId="2" type="noConversion"/>
  </si>
  <si>
    <t>本年度預算數</t>
    <phoneticPr fontId="2" type="noConversion"/>
  </si>
  <si>
    <t xml:space="preserve">      水電費</t>
    <phoneticPr fontId="2" type="noConversion"/>
  </si>
  <si>
    <t xml:space="preserve">      郵電費</t>
    <phoneticPr fontId="2" type="noConversion"/>
  </si>
  <si>
    <t xml:space="preserve">      旅運費</t>
    <phoneticPr fontId="2" type="noConversion"/>
  </si>
  <si>
    <t xml:space="preserve">      印刷裝訂與廣告費</t>
    <phoneticPr fontId="2" type="noConversion"/>
  </si>
  <si>
    <t xml:space="preserve">      保險費</t>
    <phoneticPr fontId="2" type="noConversion"/>
  </si>
  <si>
    <t xml:space="preserve">      一般服務費</t>
    <phoneticPr fontId="2" type="noConversion"/>
  </si>
  <si>
    <t xml:space="preserve">      專業服務費</t>
    <phoneticPr fontId="2" type="noConversion"/>
  </si>
  <si>
    <t xml:space="preserve">      使用材料費</t>
    <phoneticPr fontId="2" type="noConversion"/>
  </si>
  <si>
    <t xml:space="preserve">      用品消耗</t>
    <phoneticPr fontId="2" type="noConversion"/>
  </si>
  <si>
    <t xml:space="preserve">      什項設備租金</t>
    <phoneticPr fontId="2" type="noConversion"/>
  </si>
  <si>
    <t xml:space="preserve">               </t>
    <phoneticPr fontId="14" type="noConversion"/>
  </si>
  <si>
    <t>考選業務基金</t>
    <phoneticPr fontId="14" type="noConversion"/>
  </si>
  <si>
    <t>其他業務成本</t>
    <phoneticPr fontId="2" type="noConversion"/>
  </si>
  <si>
    <t xml:space="preserve">    交通及運輸設備折舊</t>
    <phoneticPr fontId="2" type="noConversion"/>
  </si>
  <si>
    <t xml:space="preserve">    什項設備折舊</t>
    <phoneticPr fontId="2" type="noConversion"/>
  </si>
  <si>
    <t>其他業務外費用</t>
    <phoneticPr fontId="2" type="noConversion"/>
  </si>
  <si>
    <t xml:space="preserve">  雜項費用</t>
    <phoneticPr fontId="2" type="noConversion"/>
  </si>
  <si>
    <t xml:space="preserve">    服務費用</t>
    <phoneticPr fontId="2" type="noConversion"/>
  </si>
  <si>
    <t xml:space="preserve">      水電費</t>
    <phoneticPr fontId="2" type="noConversion"/>
  </si>
  <si>
    <t xml:space="preserve">      修理保養及保固費</t>
    <phoneticPr fontId="2" type="noConversion"/>
  </si>
  <si>
    <t xml:space="preserve">      一般服務費</t>
    <phoneticPr fontId="2" type="noConversion"/>
  </si>
  <si>
    <t xml:space="preserve">    折舊、折耗及攤銷</t>
    <phoneticPr fontId="2" type="noConversion"/>
  </si>
  <si>
    <t xml:space="preserve">      交通及運輸設備折舊</t>
    <phoneticPr fontId="2" type="noConversion"/>
  </si>
  <si>
    <t xml:space="preserve">      什項設備折舊</t>
    <phoneticPr fontId="2" type="noConversion"/>
  </si>
  <si>
    <t xml:space="preserve">      房屋稅</t>
    <phoneticPr fontId="2" type="noConversion"/>
  </si>
  <si>
    <t>辦理公務人員考試、專門職業及技術人員考試等考試計畫。</t>
    <phoneticPr fontId="8"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</si>
  <si>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4"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</si>
  <si>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14" type="noConversion"/>
  </si>
  <si>
    <t>單位</t>
    <phoneticPr fontId="14" type="noConversion"/>
  </si>
  <si>
    <t>數量</t>
    <phoneticPr fontId="14" type="noConversion"/>
  </si>
  <si>
    <t xml:space="preserve">  郵電費</t>
    <phoneticPr fontId="2" type="noConversion"/>
  </si>
  <si>
    <t xml:space="preserve">    國內旅費</t>
    <phoneticPr fontId="2" type="noConversion"/>
  </si>
  <si>
    <t xml:space="preserve">  印刷裝訂與廣告費</t>
    <phoneticPr fontId="2" type="noConversion"/>
  </si>
  <si>
    <t xml:space="preserve">    印刷及裝訂費</t>
    <phoneticPr fontId="2" type="noConversion"/>
  </si>
  <si>
    <t xml:space="preserve">    電子計算機軟體服務費</t>
    <phoneticPr fontId="2" type="noConversion"/>
  </si>
  <si>
    <t>材料及用品費</t>
    <phoneticPr fontId="2" type="noConversion"/>
  </si>
  <si>
    <t xml:space="preserve">    公共關係費</t>
    <phoneticPr fontId="2" type="noConversion"/>
  </si>
  <si>
    <t xml:space="preserve">    機械及設備折舊</t>
    <phoneticPr fontId="2" type="noConversion"/>
  </si>
  <si>
    <t xml:space="preserve">  保險費</t>
    <phoneticPr fontId="2" type="noConversion"/>
  </si>
  <si>
    <t xml:space="preserve">    外包費</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</si>
  <si>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</si>
  <si>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</si>
  <si>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</si>
  <si>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試務甄選費</t>
    <phoneticPr fontId="2" type="noConversion"/>
  </si>
  <si>
    <t xml:space="preserve">  公共關係費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</si>
  <si>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</si>
  <si>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</si>
  <si>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</si>
  <si>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其他</t>
    <phoneticPr fontId="2" type="noConversion"/>
  </si>
  <si>
    <t xml:space="preserve">  房租</t>
    <phoneticPr fontId="2" type="noConversion"/>
  </si>
  <si>
    <t xml:space="preserve">    一般房屋租金</t>
    <phoneticPr fontId="2" type="noConversion"/>
  </si>
  <si>
    <t xml:space="preserve">  機器租金</t>
    <phoneticPr fontId="2" type="noConversion"/>
  </si>
  <si>
    <t xml:space="preserve">    機械及設備租金</t>
    <phoneticPr fontId="2" type="noConversion"/>
  </si>
  <si>
    <t xml:space="preserve">  交通及運輸設備租金</t>
    <phoneticPr fontId="2" type="noConversion"/>
  </si>
  <si>
    <t xml:space="preserve">    車租</t>
    <phoneticPr fontId="2" type="noConversion"/>
  </si>
  <si>
    <t xml:space="preserve">  什項設備租金</t>
    <phoneticPr fontId="2" type="noConversion"/>
  </si>
  <si>
    <t xml:space="preserve">    什項設備租金</t>
    <phoneticPr fontId="2" type="noConversion"/>
  </si>
  <si>
    <t xml:space="preserve">  機械及設備折舊</t>
    <phoneticPr fontId="2" type="noConversion"/>
  </si>
  <si>
    <t xml:space="preserve">  交通及運輸設備折舊</t>
    <phoneticPr fontId="2" type="noConversion"/>
  </si>
  <si>
    <t xml:space="preserve">  什項設備折舊</t>
    <phoneticPr fontId="2" type="noConversion"/>
  </si>
  <si>
    <t xml:space="preserve">  攤銷</t>
    <phoneticPr fontId="2" type="noConversion"/>
  </si>
  <si>
    <t xml:space="preserve">    攤銷電腦軟體費</t>
    <phoneticPr fontId="2" type="noConversion"/>
  </si>
  <si>
    <t xml:space="preserve">  房屋稅</t>
    <phoneticPr fontId="2" type="noConversion"/>
  </si>
  <si>
    <t xml:space="preserve">    一般房屋稅</t>
    <phoneticPr fontId="2" type="noConversion"/>
  </si>
  <si>
    <t>財務收入明細表</t>
    <phoneticPr fontId="2" type="noConversion"/>
  </si>
  <si>
    <t>其他業務外費用明細表</t>
    <phoneticPr fontId="2" type="noConversion"/>
  </si>
  <si>
    <t xml:space="preserve"> </t>
    <phoneticPr fontId="2" type="noConversion"/>
  </si>
  <si>
    <t xml:space="preserve">             </t>
    <phoneticPr fontId="2" type="noConversion"/>
  </si>
  <si>
    <t>一般建築及設備計畫</t>
    <phoneticPr fontId="14" type="noConversion"/>
  </si>
  <si>
    <t>　一次性項目</t>
    <phoneticPr fontId="14" type="noConversion"/>
  </si>
  <si>
    <t>雜項費用</t>
    <phoneticPr fontId="2" type="noConversion"/>
  </si>
  <si>
    <t>本年度預算數</t>
    <phoneticPr fontId="2" type="noConversion"/>
  </si>
  <si>
    <t>各項費用彙計表</t>
    <phoneticPr fontId="2" type="noConversion"/>
  </si>
  <si>
    <t>餘絀撥補預計表</t>
    <phoneticPr fontId="2" type="noConversion"/>
  </si>
  <si>
    <t>科目及業務計畫項目</t>
    <phoneticPr fontId="2" type="noConversion"/>
  </si>
  <si>
    <t>服務費用</t>
    <phoneticPr fontId="2" type="noConversion"/>
  </si>
  <si>
    <r>
      <t xml:space="preserve">    </t>
    </r>
    <r>
      <rPr>
        <sz val="12"/>
        <color indexed="8"/>
        <rFont val="標楷體"/>
        <family val="4"/>
        <charset val="136"/>
      </rPr>
      <t>交通及運輸設備折舊</t>
    </r>
    <phoneticPr fontId="2" type="noConversion"/>
  </si>
  <si>
    <t>固定資產</t>
    <phoneticPr fontId="2" type="noConversion"/>
  </si>
  <si>
    <t>流動資產</t>
  </si>
  <si>
    <t>基金</t>
  </si>
  <si>
    <t xml:space="preserve">  基金</t>
  </si>
  <si>
    <t xml:space="preserve">    基金</t>
  </si>
  <si>
    <t xml:space="preserve">  累積賸餘</t>
  </si>
  <si>
    <t xml:space="preserve">    累積賸餘</t>
  </si>
  <si>
    <t xml:space="preserve">  水電費</t>
    <phoneticPr fontId="2" type="noConversion"/>
  </si>
  <si>
    <t xml:space="preserve">    工作場所電費</t>
    <phoneticPr fontId="2" type="noConversion"/>
  </si>
  <si>
    <t xml:space="preserve">    工作場所水費</t>
    <phoneticPr fontId="2" type="noConversion"/>
  </si>
  <si>
    <t>考選部</t>
    <phoneticPr fontId="2" type="noConversion"/>
  </si>
  <si>
    <t>考選業務基金</t>
    <phoneticPr fontId="2" type="noConversion"/>
  </si>
  <si>
    <r>
      <t>說</t>
    </r>
    <r>
      <rPr>
        <sz val="12"/>
        <rFont val="Times New Roman"/>
        <family val="1"/>
      </rPr>
      <t xml:space="preserve">                </t>
    </r>
    <r>
      <rPr>
        <sz val="12"/>
        <rFont val="標楷體"/>
        <family val="4"/>
        <charset val="136"/>
      </rPr>
      <t>明</t>
    </r>
    <phoneticPr fontId="2" type="noConversion"/>
  </si>
  <si>
    <t>科目及業務計畫項目</t>
    <phoneticPr fontId="2" type="noConversion"/>
  </si>
  <si>
    <t>合計</t>
    <phoneticPr fontId="14" type="noConversion"/>
  </si>
  <si>
    <t>本年度預算數</t>
    <phoneticPr fontId="2" type="noConversion"/>
  </si>
  <si>
    <t xml:space="preserve"> </t>
    <phoneticPr fontId="14" type="noConversion"/>
  </si>
  <si>
    <t>上年度預算數</t>
    <phoneticPr fontId="2" type="noConversion"/>
  </si>
  <si>
    <t>折舊、折耗及攤銷</t>
    <phoneticPr fontId="2" type="noConversion"/>
  </si>
  <si>
    <t>資產折舊明細表</t>
    <phoneticPr fontId="14" type="noConversion"/>
  </si>
  <si>
    <t>機械及設備</t>
    <phoneticPr fontId="14" type="noConversion"/>
  </si>
  <si>
    <t>什項設備</t>
    <phoneticPr fontId="14" type="noConversion"/>
  </si>
  <si>
    <t>上年度預算數</t>
    <phoneticPr fontId="2" type="noConversion"/>
  </si>
  <si>
    <t>%</t>
    <phoneticPr fontId="2" type="noConversion"/>
  </si>
  <si>
    <t xml:space="preserve"> </t>
    <phoneticPr fontId="2" type="noConversion"/>
  </si>
  <si>
    <t xml:space="preserve">    </t>
    <phoneticPr fontId="2" type="noConversion"/>
  </si>
  <si>
    <t>前年度決算數</t>
    <phoneticPr fontId="2" type="noConversion"/>
  </si>
  <si>
    <t>單位</t>
    <phoneticPr fontId="2" type="noConversion"/>
  </si>
  <si>
    <t xml:space="preserve">      </t>
    <phoneticPr fontId="2" type="noConversion"/>
  </si>
  <si>
    <t xml:space="preserve">    食品</t>
    <phoneticPr fontId="2" type="noConversion"/>
  </si>
  <si>
    <t xml:space="preserve">    銀行存款</t>
    <phoneticPr fontId="2" type="noConversion"/>
  </si>
  <si>
    <t>試務成本</t>
    <phoneticPr fontId="2" type="noConversion"/>
  </si>
  <si>
    <t>單位：新臺幣千元</t>
  </si>
  <si>
    <t>備註</t>
  </si>
  <si>
    <t>營運資金</t>
  </si>
  <si>
    <t>其他</t>
  </si>
  <si>
    <t xml:space="preserve">  現金</t>
    <phoneticPr fontId="2" type="noConversion"/>
  </si>
  <si>
    <t xml:space="preserve">  預付款項</t>
    <phoneticPr fontId="2" type="noConversion"/>
  </si>
  <si>
    <t xml:space="preserve">    預付費用</t>
    <phoneticPr fontId="2" type="noConversion"/>
  </si>
  <si>
    <t>無形資產</t>
    <phoneticPr fontId="5" type="noConversion"/>
  </si>
  <si>
    <t xml:space="preserve">  無形資產</t>
    <phoneticPr fontId="5" type="noConversion"/>
  </si>
  <si>
    <t xml:space="preserve">    電腦軟體</t>
    <phoneticPr fontId="5" type="noConversion"/>
  </si>
  <si>
    <t>流動負債</t>
    <phoneticPr fontId="2" type="noConversion"/>
  </si>
  <si>
    <t>基金數額增減明細表</t>
  </si>
  <si>
    <t>金額</t>
  </si>
  <si>
    <t>說明</t>
  </si>
  <si>
    <t>期初基金數額</t>
  </si>
  <si>
    <t>　加：</t>
  </si>
  <si>
    <t>　　以前年度公積撥充</t>
  </si>
  <si>
    <t>　　賸餘撥充</t>
  </si>
  <si>
    <t>　　以代管國有財產撥充</t>
  </si>
  <si>
    <t>　　其他</t>
  </si>
  <si>
    <t>　減：</t>
  </si>
  <si>
    <t>　　填補短絀</t>
  </si>
  <si>
    <t>　　解繳國庫</t>
  </si>
  <si>
    <t>期末基金數額</t>
  </si>
  <si>
    <t>項　目</t>
  </si>
  <si>
    <t>交通及運輸設備</t>
  </si>
  <si>
    <t>什項設備</t>
  </si>
  <si>
    <t>土 地</t>
  </si>
  <si>
    <t>合  計</t>
  </si>
  <si>
    <t>說  明</t>
  </si>
  <si>
    <t>合         計</t>
  </si>
  <si>
    <t>固定資產建設改良擴充明細表</t>
    <phoneticPr fontId="14" type="noConversion"/>
  </si>
  <si>
    <t>科目名稱</t>
  </si>
  <si>
    <t>項目名稱</t>
  </si>
  <si>
    <t>投資總額</t>
  </si>
  <si>
    <t>分年預算數</t>
  </si>
  <si>
    <t>本年度</t>
  </si>
  <si>
    <t>固定資產建設改良擴充資金來源明細表</t>
  </si>
  <si>
    <t>項　　　　　目</t>
  </si>
  <si>
    <t>自　　　　有　　　　資　　　　金</t>
  </si>
  <si>
    <t>合　　　計</t>
  </si>
  <si>
    <t>小　　　計</t>
  </si>
  <si>
    <t>％</t>
  </si>
  <si>
    <t>營運
資金</t>
    <phoneticPr fontId="14" type="noConversion"/>
  </si>
  <si>
    <t>金額</t>
    <phoneticPr fontId="14" type="noConversion"/>
  </si>
  <si>
    <t>其他</t>
    <phoneticPr fontId="14" type="noConversion"/>
  </si>
  <si>
    <r>
      <t>出</t>
    </r>
    <r>
      <rPr>
        <sz val="10"/>
        <color indexed="8"/>
        <rFont val="Times New Roman"/>
        <family val="1"/>
      </rPr>
      <t xml:space="preserve">    </t>
    </r>
    <r>
      <rPr>
        <sz val="10"/>
        <color indexed="8"/>
        <rFont val="標楷體"/>
        <family val="4"/>
        <charset val="136"/>
      </rPr>
      <t>售
不適用
資</t>
    </r>
    <r>
      <rPr>
        <sz val="10"/>
        <color indexed="8"/>
        <rFont val="Times New Roman"/>
        <family val="1"/>
      </rPr>
      <t xml:space="preserve">    </t>
    </r>
    <r>
      <rPr>
        <sz val="10"/>
        <color indexed="8"/>
        <rFont val="標楷體"/>
        <family val="4"/>
        <charset val="136"/>
      </rPr>
      <t>產</t>
    </r>
    <phoneticPr fontId="14" type="noConversion"/>
  </si>
  <si>
    <t>目標能量</t>
  </si>
  <si>
    <t>截至本年度累計數</t>
  </si>
  <si>
    <t>計畫％</t>
  </si>
  <si>
    <t>投資總額</t>
    <phoneticPr fontId="14" type="noConversion"/>
  </si>
  <si>
    <t>外借
資金</t>
    <phoneticPr fontId="14" type="noConversion"/>
  </si>
  <si>
    <t>國庫
撥款</t>
    <phoneticPr fontId="14" type="noConversion"/>
  </si>
  <si>
    <t>　分年性項目</t>
    <phoneticPr fontId="14" type="noConversion"/>
  </si>
  <si>
    <t>勞務成本</t>
    <phoneticPr fontId="2" type="noConversion"/>
  </si>
  <si>
    <t>期  間</t>
  </si>
  <si>
    <t xml:space="preserve">  用品消耗</t>
    <phoneticPr fontId="2" type="noConversion"/>
  </si>
  <si>
    <t>租金與利息</t>
    <phoneticPr fontId="2" type="noConversion"/>
  </si>
  <si>
    <t>考選部</t>
    <phoneticPr fontId="14" type="noConversion"/>
  </si>
  <si>
    <t>考選部</t>
    <phoneticPr fontId="14" type="noConversion"/>
  </si>
  <si>
    <t>考選業務基金</t>
    <phoneticPr fontId="14" type="noConversion"/>
  </si>
  <si>
    <t>單位:新台幣千元</t>
    <phoneticPr fontId="14" type="noConversion"/>
  </si>
  <si>
    <t>項目</t>
    <phoneticPr fontId="14" type="noConversion"/>
  </si>
  <si>
    <t>本年度預算數</t>
    <phoneticPr fontId="14" type="noConversion"/>
  </si>
  <si>
    <t>說      明</t>
    <phoneticPr fontId="14" type="noConversion"/>
  </si>
  <si>
    <t>單位</t>
    <phoneticPr fontId="14" type="noConversion"/>
  </si>
  <si>
    <t>數量</t>
    <phoneticPr fontId="14" type="noConversion"/>
  </si>
  <si>
    <t>單價</t>
    <phoneticPr fontId="14" type="noConversion"/>
  </si>
  <si>
    <t>單項總價</t>
    <phoneticPr fontId="14" type="noConversion"/>
  </si>
  <si>
    <t>機械及設備</t>
    <phoneticPr fontId="14" type="noConversion"/>
  </si>
  <si>
    <t>式</t>
    <phoneticPr fontId="14" type="noConversion"/>
  </si>
  <si>
    <t>合計</t>
    <phoneticPr fontId="14" type="noConversion"/>
  </si>
  <si>
    <t>考選部</t>
    <phoneticPr fontId="2" type="noConversion"/>
  </si>
  <si>
    <t>考選業務基金</t>
    <phoneticPr fontId="2" type="noConversion"/>
  </si>
  <si>
    <t>單位：新臺幣千元</t>
    <phoneticPr fontId="2" type="noConversion"/>
  </si>
  <si>
    <t>單位：新臺幣千元</t>
    <phoneticPr fontId="14" type="noConversion"/>
  </si>
  <si>
    <r>
      <t>項</t>
    </r>
    <r>
      <rPr>
        <sz val="12"/>
        <color indexed="8"/>
        <rFont val="Times New Roman"/>
        <family val="1"/>
      </rPr>
      <t xml:space="preserve">                        </t>
    </r>
    <r>
      <rPr>
        <sz val="12"/>
        <color indexed="8"/>
        <rFont val="標楷體"/>
        <family val="4"/>
        <charset val="136"/>
      </rPr>
      <t>目</t>
    </r>
    <phoneticPr fontId="14" type="noConversion"/>
  </si>
  <si>
    <r>
      <t>全</t>
    </r>
    <r>
      <rPr>
        <sz val="12"/>
        <color indexed="8"/>
        <rFont val="Times New Roman"/>
        <family val="1"/>
      </rPr>
      <t xml:space="preserve">                              </t>
    </r>
    <r>
      <rPr>
        <sz val="12"/>
        <color indexed="8"/>
        <rFont val="標楷體"/>
        <family val="4"/>
        <charset val="136"/>
      </rPr>
      <t>部</t>
    </r>
    <r>
      <rPr>
        <sz val="12"/>
        <color indexed="8"/>
        <rFont val="Times New Roman"/>
        <family val="1"/>
      </rPr>
      <t xml:space="preserve">                              </t>
    </r>
    <r>
      <rPr>
        <sz val="12"/>
        <color indexed="8"/>
        <rFont val="標楷體"/>
        <family val="4"/>
        <charset val="136"/>
      </rPr>
      <t>計</t>
    </r>
    <r>
      <rPr>
        <sz val="12"/>
        <color indexed="8"/>
        <rFont val="Times New Roman"/>
        <family val="1"/>
      </rPr>
      <t xml:space="preserve">                              </t>
    </r>
    <r>
      <rPr>
        <sz val="12"/>
        <color indexed="8"/>
        <rFont val="標楷體"/>
        <family val="4"/>
        <charset val="136"/>
      </rPr>
      <t>畫</t>
    </r>
    <phoneticPr fontId="14"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</si>
  <si>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14" type="noConversion"/>
  </si>
  <si>
    <r>
      <t>資</t>
    </r>
    <r>
      <rPr>
        <sz val="12"/>
        <color indexed="8"/>
        <rFont val="Times New Roman"/>
        <family val="1"/>
      </rPr>
      <t xml:space="preserve">                </t>
    </r>
    <r>
      <rPr>
        <sz val="12"/>
        <color indexed="8"/>
        <rFont val="標楷體"/>
        <family val="4"/>
        <charset val="136"/>
      </rPr>
      <t>金</t>
    </r>
    <r>
      <rPr>
        <sz val="12"/>
        <color indexed="8"/>
        <rFont val="Times New Roman"/>
        <family val="1"/>
      </rPr>
      <t xml:space="preserve">                </t>
    </r>
    <r>
      <rPr>
        <sz val="12"/>
        <color indexed="8"/>
        <rFont val="標楷體"/>
        <family val="4"/>
        <charset val="136"/>
      </rPr>
      <t>來</t>
    </r>
    <r>
      <rPr>
        <sz val="12"/>
        <color indexed="8"/>
        <rFont val="Times New Roman"/>
        <family val="1"/>
      </rPr>
      <t xml:space="preserve">                 </t>
    </r>
    <r>
      <rPr>
        <sz val="12"/>
        <color indexed="8"/>
        <rFont val="標楷體"/>
        <family val="4"/>
        <charset val="136"/>
      </rPr>
      <t>源</t>
    </r>
    <phoneticPr fontId="14" type="noConversion"/>
  </si>
  <si>
    <t>進度起迄年月</t>
    <phoneticPr fontId="14" type="noConversion"/>
  </si>
  <si>
    <t>資金
成本率（％）</t>
    <phoneticPr fontId="14" type="noConversion"/>
  </si>
  <si>
    <r>
      <t>現值
報酬率
（</t>
    </r>
    <r>
      <rPr>
        <sz val="12"/>
        <color indexed="8"/>
        <rFont val="Times New Roman"/>
        <family val="1"/>
      </rPr>
      <t>%</t>
    </r>
    <r>
      <rPr>
        <sz val="12"/>
        <color indexed="8"/>
        <rFont val="標楷體"/>
        <family val="4"/>
        <charset val="136"/>
      </rPr>
      <t>）</t>
    </r>
    <phoneticPr fontId="14" type="noConversion"/>
  </si>
  <si>
    <r>
      <t>收回年限</t>
    </r>
    <r>
      <rPr>
        <sz val="12"/>
        <color indexed="8"/>
        <rFont val="Times New Roman"/>
        <family val="1"/>
      </rPr>
      <t>(</t>
    </r>
    <r>
      <rPr>
        <sz val="12"/>
        <color indexed="8"/>
        <rFont val="標楷體"/>
        <family val="4"/>
        <charset val="136"/>
      </rPr>
      <t>年</t>
    </r>
    <r>
      <rPr>
        <sz val="12"/>
        <color indexed="8"/>
        <rFont val="Times New Roman"/>
        <family val="1"/>
      </rPr>
      <t>)</t>
    </r>
    <phoneticPr fontId="14" type="noConversion"/>
  </si>
  <si>
    <r>
      <t>自</t>
    </r>
    <r>
      <rPr>
        <sz val="12"/>
        <color indexed="8"/>
        <rFont val="Times New Roman"/>
        <family val="1"/>
      </rPr>
      <t xml:space="preserve">        </t>
    </r>
    <r>
      <rPr>
        <sz val="12"/>
        <color indexed="8"/>
        <rFont val="標楷體"/>
        <family val="4"/>
        <charset val="136"/>
      </rPr>
      <t>有</t>
    </r>
    <r>
      <rPr>
        <sz val="12"/>
        <color indexed="8"/>
        <rFont val="Times New Roman"/>
        <family val="1"/>
      </rPr>
      <t xml:space="preserve">         </t>
    </r>
    <r>
      <rPr>
        <sz val="12"/>
        <color indexed="8"/>
        <rFont val="標楷體"/>
        <family val="4"/>
        <charset val="136"/>
      </rPr>
      <t>資</t>
    </r>
    <r>
      <rPr>
        <sz val="12"/>
        <color indexed="8"/>
        <rFont val="Times New Roman"/>
        <family val="1"/>
      </rPr>
      <t xml:space="preserve">         </t>
    </r>
    <r>
      <rPr>
        <sz val="12"/>
        <color indexed="8"/>
        <rFont val="標楷體"/>
        <family val="4"/>
        <charset val="136"/>
      </rPr>
      <t>金</t>
    </r>
    <phoneticPr fontId="14" type="noConversion"/>
  </si>
  <si>
    <t>占全部
計畫％</t>
    <phoneticPr fontId="14" type="noConversion"/>
  </si>
  <si>
    <r>
      <t>出售不適</t>
    </r>
    <r>
      <rPr>
        <sz val="12"/>
        <color indexed="8"/>
        <rFont val="標楷體"/>
        <family val="4"/>
        <charset val="136"/>
      </rPr>
      <t>用資產</t>
    </r>
    <phoneticPr fontId="14" type="noConversion"/>
  </si>
  <si>
    <t>業務計畫及預算說明</t>
    <phoneticPr fontId="14" type="noConversion"/>
  </si>
  <si>
    <t>建設改良擴充</t>
    <phoneticPr fontId="2" type="noConversion"/>
  </si>
  <si>
    <t>業務計畫及預算說明</t>
    <phoneticPr fontId="2" type="noConversion"/>
  </si>
  <si>
    <t>資金來源</t>
    <phoneticPr fontId="2" type="noConversion"/>
  </si>
  <si>
    <r>
      <t>建</t>
    </r>
    <r>
      <rPr>
        <sz val="12"/>
        <rFont val="Times New Roman"/>
        <family val="1"/>
      </rPr>
      <t xml:space="preserve"> </t>
    </r>
    <r>
      <rPr>
        <sz val="12"/>
        <rFont val="標楷體"/>
        <family val="4"/>
        <charset val="136"/>
      </rPr>
      <t>設</t>
    </r>
    <r>
      <rPr>
        <sz val="12"/>
        <rFont val="Times New Roman"/>
        <family val="1"/>
      </rPr>
      <t xml:space="preserve"> </t>
    </r>
    <r>
      <rPr>
        <sz val="12"/>
        <rFont val="標楷體"/>
        <family val="4"/>
        <charset val="136"/>
      </rPr>
      <t>改</t>
    </r>
    <r>
      <rPr>
        <sz val="12"/>
        <rFont val="Times New Roman"/>
        <family val="1"/>
      </rPr>
      <t xml:space="preserve"> </t>
    </r>
    <r>
      <rPr>
        <sz val="12"/>
        <rFont val="標楷體"/>
        <family val="4"/>
        <charset val="136"/>
      </rPr>
      <t>良</t>
    </r>
    <r>
      <rPr>
        <sz val="12"/>
        <rFont val="Times New Roman"/>
        <family val="1"/>
      </rPr>
      <t xml:space="preserve"> </t>
    </r>
    <r>
      <rPr>
        <sz val="12"/>
        <rFont val="標楷體"/>
        <family val="4"/>
        <charset val="136"/>
      </rPr>
      <t>擴</t>
    </r>
    <r>
      <rPr>
        <sz val="12"/>
        <rFont val="Times New Roman"/>
        <family val="1"/>
      </rPr>
      <t xml:space="preserve"> </t>
    </r>
    <r>
      <rPr>
        <sz val="12"/>
        <rFont val="標楷體"/>
        <family val="4"/>
        <charset val="136"/>
      </rPr>
      <t>充</t>
    </r>
    <phoneticPr fontId="14" type="noConversion"/>
  </si>
  <si>
    <r>
      <t>資</t>
    </r>
    <r>
      <rPr>
        <sz val="12"/>
        <rFont val="Times New Roman"/>
        <family val="1"/>
      </rPr>
      <t xml:space="preserve"> </t>
    </r>
    <r>
      <rPr>
        <sz val="12"/>
        <rFont val="標楷體"/>
        <family val="4"/>
        <charset val="136"/>
      </rPr>
      <t>金</t>
    </r>
    <r>
      <rPr>
        <sz val="12"/>
        <rFont val="Times New Roman"/>
        <family val="1"/>
      </rPr>
      <t xml:space="preserve"> </t>
    </r>
    <r>
      <rPr>
        <sz val="12"/>
        <rFont val="標楷體"/>
        <family val="4"/>
        <charset val="136"/>
      </rPr>
      <t>來</t>
    </r>
    <r>
      <rPr>
        <sz val="12"/>
        <rFont val="Times New Roman"/>
        <family val="1"/>
      </rPr>
      <t xml:space="preserve"> </t>
    </r>
    <r>
      <rPr>
        <sz val="12"/>
        <rFont val="標楷體"/>
        <family val="4"/>
        <charset val="136"/>
      </rPr>
      <t>源</t>
    </r>
    <phoneticPr fontId="14" type="noConversion"/>
  </si>
  <si>
    <t>自有資金</t>
    <phoneticPr fontId="14" type="noConversion"/>
  </si>
  <si>
    <t>交通及運輸設備</t>
    <phoneticPr fontId="2" type="noConversion"/>
  </si>
  <si>
    <r>
      <t xml:space="preserve">  </t>
    </r>
    <r>
      <rPr>
        <sz val="12"/>
        <color indexed="8"/>
        <rFont val="標楷體"/>
        <family val="4"/>
        <charset val="136"/>
      </rPr>
      <t xml:space="preserve"> 營運資金</t>
    </r>
    <phoneticPr fontId="14" type="noConversion"/>
  </si>
  <si>
    <r>
      <t>合</t>
    </r>
    <r>
      <rPr>
        <sz val="12"/>
        <rFont val="Times New Roman"/>
        <family val="1"/>
      </rPr>
      <t xml:space="preserve">          </t>
    </r>
    <r>
      <rPr>
        <sz val="12"/>
        <rFont val="標楷體"/>
        <family val="4"/>
        <charset val="136"/>
      </rPr>
      <t>計</t>
    </r>
    <phoneticPr fontId="14" type="noConversion"/>
  </si>
  <si>
    <t>合     計</t>
    <phoneticPr fontId="2" type="noConversion"/>
  </si>
  <si>
    <t>收入</t>
    <phoneticPr fontId="2" type="noConversion"/>
  </si>
  <si>
    <t>成本與費用及賸餘</t>
    <phoneticPr fontId="2" type="noConversion"/>
  </si>
  <si>
    <t>收入</t>
    <phoneticPr fontId="14" type="noConversion"/>
  </si>
  <si>
    <t>成本與費用及賸餘</t>
    <phoneticPr fontId="14" type="noConversion"/>
  </si>
  <si>
    <t xml:space="preserve">業務收入  </t>
    <phoneticPr fontId="14" type="noConversion"/>
  </si>
  <si>
    <r>
      <t xml:space="preserve">  </t>
    </r>
    <r>
      <rPr>
        <sz val="12"/>
        <color indexed="8"/>
        <rFont val="標楷體"/>
        <family val="4"/>
        <charset val="136"/>
      </rPr>
      <t xml:space="preserve"> 勞務收入</t>
    </r>
    <phoneticPr fontId="14" type="noConversion"/>
  </si>
  <si>
    <r>
      <t xml:space="preserve">  </t>
    </r>
    <r>
      <rPr>
        <sz val="12"/>
        <color indexed="8"/>
        <rFont val="標楷體"/>
        <family val="4"/>
        <charset val="136"/>
      </rPr>
      <t xml:space="preserve"> 勞務成本</t>
    </r>
    <phoneticPr fontId="14" type="noConversion"/>
  </si>
  <si>
    <t xml:space="preserve">業務外收入  </t>
    <phoneticPr fontId="14" type="noConversion"/>
  </si>
  <si>
    <t xml:space="preserve"> 按 分 配 程 序 分</t>
    <phoneticPr fontId="2" type="noConversion"/>
  </si>
  <si>
    <t>按 所 得 對 象 分</t>
    <phoneticPr fontId="2" type="noConversion"/>
  </si>
  <si>
    <t>未分配賸餘</t>
    <phoneticPr fontId="2" type="noConversion"/>
  </si>
  <si>
    <r>
      <t>按</t>
    </r>
    <r>
      <rPr>
        <b/>
        <u/>
        <sz val="16"/>
        <rFont val="Times New Roman"/>
        <family val="1"/>
      </rPr>
      <t xml:space="preserve"> </t>
    </r>
    <r>
      <rPr>
        <b/>
        <u/>
        <sz val="16"/>
        <rFont val="標楷體"/>
        <family val="4"/>
        <charset val="136"/>
      </rPr>
      <t>所</t>
    </r>
    <r>
      <rPr>
        <b/>
        <u/>
        <sz val="16"/>
        <rFont val="Times New Roman"/>
        <family val="1"/>
      </rPr>
      <t xml:space="preserve"> </t>
    </r>
    <r>
      <rPr>
        <b/>
        <u/>
        <sz val="16"/>
        <rFont val="標楷體"/>
        <family val="4"/>
        <charset val="136"/>
      </rPr>
      <t>得</t>
    </r>
    <r>
      <rPr>
        <b/>
        <u/>
        <sz val="16"/>
        <rFont val="Times New Roman"/>
        <family val="1"/>
      </rPr>
      <t xml:space="preserve"> </t>
    </r>
    <r>
      <rPr>
        <b/>
        <u/>
        <sz val="16"/>
        <rFont val="標楷體"/>
        <family val="4"/>
        <charset val="136"/>
      </rPr>
      <t>對</t>
    </r>
    <r>
      <rPr>
        <b/>
        <u/>
        <sz val="16"/>
        <rFont val="Times New Roman"/>
        <family val="1"/>
      </rPr>
      <t xml:space="preserve"> </t>
    </r>
    <r>
      <rPr>
        <b/>
        <u/>
        <sz val="16"/>
        <rFont val="標楷體"/>
        <family val="4"/>
        <charset val="136"/>
      </rPr>
      <t>象</t>
    </r>
    <r>
      <rPr>
        <b/>
        <u/>
        <sz val="16"/>
        <rFont val="Times New Roman"/>
        <family val="1"/>
      </rPr>
      <t xml:space="preserve"> </t>
    </r>
    <r>
      <rPr>
        <b/>
        <u/>
        <sz val="16"/>
        <rFont val="標楷體"/>
        <family val="4"/>
        <charset val="136"/>
      </rPr>
      <t>分</t>
    </r>
    <phoneticPr fontId="2" type="noConversion"/>
  </si>
  <si>
    <t>按分配程序分</t>
    <phoneticPr fontId="2" type="noConversion"/>
  </si>
  <si>
    <r>
      <t>主</t>
    </r>
    <r>
      <rPr>
        <b/>
        <sz val="36"/>
        <rFont val="Times New Roman"/>
        <family val="1"/>
      </rPr>
      <t xml:space="preserve">     </t>
    </r>
    <r>
      <rPr>
        <b/>
        <sz val="36"/>
        <rFont val="標楷體"/>
        <family val="4"/>
        <charset val="136"/>
      </rPr>
      <t>要</t>
    </r>
    <r>
      <rPr>
        <b/>
        <sz val="36"/>
        <rFont val="Times New Roman"/>
        <family val="1"/>
      </rPr>
      <t xml:space="preserve">     </t>
    </r>
    <r>
      <rPr>
        <b/>
        <sz val="36"/>
        <rFont val="標楷體"/>
        <family val="4"/>
        <charset val="136"/>
      </rPr>
      <t>表</t>
    </r>
    <phoneticPr fontId="14" type="noConversion"/>
  </si>
  <si>
    <t>科目及營運項目</t>
    <phoneticPr fontId="2" type="noConversion"/>
  </si>
  <si>
    <t>單位</t>
    <phoneticPr fontId="2" type="noConversion"/>
  </si>
  <si>
    <t>數量</t>
    <phoneticPr fontId="2" type="noConversion"/>
  </si>
  <si>
    <t>平均單位成本(元)</t>
    <phoneticPr fontId="2" type="noConversion"/>
  </si>
  <si>
    <t>金額</t>
    <phoneticPr fontId="2" type="noConversion"/>
  </si>
  <si>
    <t xml:space="preserve">  旅運費</t>
    <phoneticPr fontId="2" type="noConversion"/>
  </si>
  <si>
    <t xml:space="preserve">  一般服務費</t>
    <phoneticPr fontId="2" type="noConversion"/>
  </si>
  <si>
    <r>
      <t xml:space="preserve">  </t>
    </r>
    <r>
      <rPr>
        <b/>
        <sz val="12"/>
        <color indexed="8"/>
        <rFont val="標楷體"/>
        <family val="4"/>
        <charset val="136"/>
      </rPr>
      <t>服務費用</t>
    </r>
    <phoneticPr fontId="2" type="noConversion"/>
  </si>
  <si>
    <r>
      <t xml:space="preserve">    </t>
    </r>
    <r>
      <rPr>
        <sz val="12"/>
        <color indexed="8"/>
        <rFont val="標楷體"/>
        <family val="4"/>
        <charset val="136"/>
      </rPr>
      <t>專業服務費</t>
    </r>
    <phoneticPr fontId="2" type="noConversion"/>
  </si>
  <si>
    <r>
      <t xml:space="preserve">  </t>
    </r>
    <r>
      <rPr>
        <b/>
        <sz val="12"/>
        <color indexed="8"/>
        <rFont val="標楷體"/>
        <family val="4"/>
        <charset val="136"/>
      </rPr>
      <t>材料及用品費</t>
    </r>
    <phoneticPr fontId="2" type="noConversion"/>
  </si>
  <si>
    <r>
      <t xml:space="preserve">     </t>
    </r>
    <r>
      <rPr>
        <sz val="12"/>
        <color indexed="8"/>
        <rFont val="標楷體"/>
        <family val="4"/>
        <charset val="136"/>
      </rPr>
      <t>使用材料費</t>
    </r>
    <phoneticPr fontId="2" type="noConversion"/>
  </si>
  <si>
    <r>
      <t xml:space="preserve">     </t>
    </r>
    <r>
      <rPr>
        <sz val="12"/>
        <color indexed="8"/>
        <rFont val="標楷體"/>
        <family val="4"/>
        <charset val="136"/>
      </rPr>
      <t>用品消耗</t>
    </r>
    <phoneticPr fontId="2" type="noConversion"/>
  </si>
  <si>
    <r>
      <t xml:space="preserve">  </t>
    </r>
    <r>
      <rPr>
        <b/>
        <sz val="12"/>
        <color indexed="8"/>
        <rFont val="標楷體"/>
        <family val="4"/>
        <charset val="136"/>
      </rPr>
      <t>租金與利息</t>
    </r>
    <phoneticPr fontId="2" type="noConversion"/>
  </si>
  <si>
    <r>
      <t xml:space="preserve">     </t>
    </r>
    <r>
      <rPr>
        <sz val="12"/>
        <color indexed="8"/>
        <rFont val="標楷體"/>
        <family val="4"/>
        <charset val="136"/>
      </rPr>
      <t>機器租金</t>
    </r>
    <phoneticPr fontId="2" type="noConversion"/>
  </si>
  <si>
    <r>
      <t xml:space="preserve">     </t>
    </r>
    <r>
      <rPr>
        <sz val="12"/>
        <color indexed="8"/>
        <rFont val="標楷體"/>
        <family val="4"/>
        <charset val="136"/>
      </rPr>
      <t>交通及運輸設備租金</t>
    </r>
    <phoneticPr fontId="2" type="noConversion"/>
  </si>
  <si>
    <r>
      <t xml:space="preserve">  </t>
    </r>
    <r>
      <rPr>
        <b/>
        <sz val="12"/>
        <color indexed="8"/>
        <rFont val="標楷體"/>
        <family val="4"/>
        <charset val="136"/>
      </rPr>
      <t>折舊、折耗及攤銷</t>
    </r>
    <phoneticPr fontId="2" type="noConversion"/>
  </si>
  <si>
    <r>
      <t xml:space="preserve">    </t>
    </r>
    <r>
      <rPr>
        <sz val="12"/>
        <color indexed="8"/>
        <rFont val="標楷體"/>
        <family val="4"/>
        <charset val="136"/>
      </rPr>
      <t>機械及設備折舊</t>
    </r>
    <phoneticPr fontId="2" type="noConversion"/>
  </si>
  <si>
    <r>
      <t xml:space="preserve">    </t>
    </r>
    <r>
      <rPr>
        <sz val="12"/>
        <color indexed="8"/>
        <rFont val="標楷體"/>
        <family val="4"/>
        <charset val="136"/>
      </rPr>
      <t>什項設備折舊</t>
    </r>
    <phoneticPr fontId="2" type="noConversion"/>
  </si>
  <si>
    <r>
      <t xml:space="preserve">    </t>
    </r>
    <r>
      <rPr>
        <sz val="12"/>
        <color indexed="8"/>
        <rFont val="標楷體"/>
        <family val="4"/>
        <charset val="136"/>
      </rPr>
      <t>攤銷</t>
    </r>
    <phoneticPr fontId="2" type="noConversion"/>
  </si>
  <si>
    <r>
      <t xml:space="preserve">    </t>
    </r>
    <r>
      <rPr>
        <sz val="12"/>
        <color indexed="8"/>
        <rFont val="標楷體"/>
        <family val="4"/>
        <charset val="136"/>
      </rPr>
      <t>保險費</t>
    </r>
    <phoneticPr fontId="2" type="noConversion"/>
  </si>
  <si>
    <r>
      <t xml:space="preserve">    </t>
    </r>
    <r>
      <rPr>
        <sz val="12"/>
        <color indexed="8"/>
        <rFont val="標楷體"/>
        <family val="4"/>
        <charset val="136"/>
      </rPr>
      <t>公共關係費</t>
    </r>
    <phoneticPr fontId="2" type="noConversion"/>
  </si>
  <si>
    <r>
      <t xml:space="preserve">     </t>
    </r>
    <r>
      <rPr>
        <sz val="12"/>
        <color indexed="8"/>
        <rFont val="標楷體"/>
        <family val="4"/>
        <charset val="136"/>
      </rPr>
      <t>房租</t>
    </r>
    <phoneticPr fontId="2" type="noConversion"/>
  </si>
  <si>
    <t xml:space="preserve">  郵電費</t>
    <phoneticPr fontId="2" type="noConversion"/>
  </si>
  <si>
    <t xml:space="preserve">  旅運費</t>
    <phoneticPr fontId="2" type="noConversion"/>
  </si>
  <si>
    <t xml:space="preserve">  印刷裝訂與廣告費</t>
    <phoneticPr fontId="2" type="noConversion"/>
  </si>
  <si>
    <r>
      <t xml:space="preserve">    </t>
    </r>
    <r>
      <rPr>
        <sz val="12"/>
        <color indexed="8"/>
        <rFont val="標楷體"/>
        <family val="4"/>
        <charset val="136"/>
      </rPr>
      <t>修理保養及保固費</t>
    </r>
    <phoneticPr fontId="2" type="noConversion"/>
  </si>
  <si>
    <t>單位:新台幣千元</t>
    <phoneticPr fontId="2" type="noConversion"/>
  </si>
  <si>
    <t>服務費用</t>
    <phoneticPr fontId="2" type="noConversion"/>
  </si>
  <si>
    <t xml:space="preserve">  修理保養及保固費</t>
    <phoneticPr fontId="2" type="noConversion"/>
  </si>
  <si>
    <r>
      <t>明</t>
    </r>
    <r>
      <rPr>
        <b/>
        <sz val="36"/>
        <rFont val="Times New Roman"/>
        <family val="1"/>
      </rPr>
      <t xml:space="preserve">    </t>
    </r>
    <r>
      <rPr>
        <b/>
        <sz val="36"/>
        <rFont val="標楷體"/>
        <family val="4"/>
        <charset val="136"/>
      </rPr>
      <t>細</t>
    </r>
    <r>
      <rPr>
        <b/>
        <sz val="36"/>
        <rFont val="Times New Roman"/>
        <family val="1"/>
      </rPr>
      <t xml:space="preserve">    </t>
    </r>
    <r>
      <rPr>
        <b/>
        <sz val="36"/>
        <rFont val="標楷體"/>
        <family val="4"/>
        <charset val="136"/>
      </rPr>
      <t>表</t>
    </r>
    <phoneticPr fontId="14" type="noConversion"/>
  </si>
  <si>
    <t>現金流量預計表</t>
    <phoneticPr fontId="2" type="noConversion"/>
  </si>
  <si>
    <t>機械</t>
    <phoneticPr fontId="2" type="noConversion"/>
  </si>
  <si>
    <t>交通</t>
    <phoneticPr fontId="2" type="noConversion"/>
  </si>
  <si>
    <t>什項</t>
    <phoneticPr fontId="2" type="noConversion"/>
  </si>
  <si>
    <t>合計</t>
    <phoneticPr fontId="2" type="noConversion"/>
  </si>
  <si>
    <r>
      <t>項</t>
    </r>
    <r>
      <rPr>
        <sz val="12"/>
        <rFont val="Times New Roman"/>
        <family val="1"/>
      </rPr>
      <t xml:space="preserve">                           </t>
    </r>
    <r>
      <rPr>
        <sz val="12"/>
        <rFont val="標楷體"/>
        <family val="4"/>
        <charset val="136"/>
      </rPr>
      <t>目</t>
    </r>
    <phoneticPr fontId="2" type="noConversion"/>
  </si>
  <si>
    <t>短絀之部</t>
  </si>
  <si>
    <t>　本期短絀</t>
  </si>
  <si>
    <t>　前期待填補之短絀</t>
  </si>
  <si>
    <t>填補之部</t>
  </si>
  <si>
    <t>　撥用賸餘</t>
  </si>
  <si>
    <t>　撥用公積</t>
  </si>
  <si>
    <t>　折減基金</t>
  </si>
  <si>
    <t>　國庫撥款</t>
  </si>
  <si>
    <r>
      <t>項</t>
    </r>
    <r>
      <rPr>
        <sz val="12"/>
        <color indexed="8"/>
        <rFont val="Times New Roman"/>
        <family val="1"/>
      </rPr>
      <t xml:space="preserve">                                                                  </t>
    </r>
    <r>
      <rPr>
        <sz val="12"/>
        <color indexed="8"/>
        <rFont val="標楷體"/>
        <family val="4"/>
        <charset val="136"/>
      </rPr>
      <t>目</t>
    </r>
    <phoneticPr fontId="2" type="noConversion"/>
  </si>
  <si>
    <t xml:space="preserve">    折舊及折耗</t>
    <phoneticPr fontId="2" type="noConversion"/>
  </si>
  <si>
    <t xml:space="preserve">    流動資產淨減(淨增-)</t>
    <phoneticPr fontId="2" type="noConversion"/>
  </si>
  <si>
    <r>
      <t>註：本表係採現金及約當現金基礎，包括現金及自投資日起</t>
    </r>
    <r>
      <rPr>
        <sz val="12"/>
        <color indexed="8"/>
        <rFont val="Times New Roman"/>
        <family val="1"/>
      </rPr>
      <t>3</t>
    </r>
    <r>
      <rPr>
        <sz val="12"/>
        <color indexed="8"/>
        <rFont val="標楷體"/>
        <family val="4"/>
        <charset val="136"/>
      </rPr>
      <t>個月內到期或清償之債權證券。</t>
    </r>
    <phoneticPr fontId="2" type="noConversion"/>
  </si>
  <si>
    <r>
      <t>預</t>
    </r>
    <r>
      <rPr>
        <sz val="11"/>
        <color indexed="8"/>
        <rFont val="Times New Roman"/>
        <family val="1"/>
      </rPr>
      <t xml:space="preserve">          </t>
    </r>
    <r>
      <rPr>
        <sz val="11"/>
        <color indexed="8"/>
        <rFont val="標楷體"/>
        <family val="4"/>
        <charset val="136"/>
      </rPr>
      <t>算</t>
    </r>
    <r>
      <rPr>
        <sz val="11"/>
        <color indexed="8"/>
        <rFont val="Times New Roman"/>
        <family val="1"/>
      </rPr>
      <t xml:space="preserve">          </t>
    </r>
    <r>
      <rPr>
        <sz val="11"/>
        <color indexed="8"/>
        <rFont val="標楷體"/>
        <family val="4"/>
        <charset val="136"/>
      </rPr>
      <t>數</t>
    </r>
    <phoneticPr fontId="2" type="noConversion"/>
  </si>
  <si>
    <r>
      <t>數</t>
    </r>
    <r>
      <rPr>
        <sz val="12"/>
        <color indexed="8"/>
        <rFont val="Times New Roman"/>
        <family val="1"/>
      </rPr>
      <t xml:space="preserve">     </t>
    </r>
    <r>
      <rPr>
        <sz val="12"/>
        <color indexed="8"/>
        <rFont val="標楷體"/>
        <family val="4"/>
        <charset val="136"/>
      </rPr>
      <t>量</t>
    </r>
    <phoneticPr fontId="2" type="noConversion"/>
  </si>
  <si>
    <r>
      <t>金</t>
    </r>
    <r>
      <rPr>
        <sz val="12"/>
        <color indexed="8"/>
        <rFont val="Times New Roman"/>
        <family val="1"/>
      </rPr>
      <t xml:space="preserve">     </t>
    </r>
    <r>
      <rPr>
        <sz val="12"/>
        <color indexed="8"/>
        <rFont val="標楷體"/>
        <family val="4"/>
        <charset val="136"/>
      </rPr>
      <t>額</t>
    </r>
    <phoneticPr fontId="2" type="noConversion"/>
  </si>
  <si>
    <t>財務收入</t>
    <phoneticPr fontId="2" type="noConversion"/>
  </si>
  <si>
    <t>勞務成本明細表</t>
    <phoneticPr fontId="2" type="noConversion"/>
  </si>
  <si>
    <t>其他業務成本明細表</t>
    <phoneticPr fontId="2" type="noConversion"/>
  </si>
  <si>
    <r>
      <t>金</t>
    </r>
    <r>
      <rPr>
        <sz val="12"/>
        <rFont val="Times New Roman"/>
        <family val="1"/>
      </rPr>
      <t xml:space="preserve">      </t>
    </r>
    <r>
      <rPr>
        <sz val="12"/>
        <rFont val="標楷體"/>
        <family val="4"/>
        <charset val="136"/>
      </rPr>
      <t>額</t>
    </r>
    <phoneticPr fontId="2" type="noConversion"/>
  </si>
  <si>
    <t>賸餘之部</t>
    <phoneticPr fontId="2" type="noConversion"/>
  </si>
  <si>
    <r>
      <t xml:space="preserve">  </t>
    </r>
    <r>
      <rPr>
        <sz val="12"/>
        <rFont val="標楷體"/>
        <family val="4"/>
        <charset val="136"/>
      </rPr>
      <t xml:space="preserve"> 本期賸餘</t>
    </r>
    <phoneticPr fontId="2" type="noConversion"/>
  </si>
  <si>
    <t xml:space="preserve">  前期未分配賸餘</t>
    <phoneticPr fontId="2" type="noConversion"/>
  </si>
  <si>
    <t xml:space="preserve">  公積轉列數</t>
    <phoneticPr fontId="2" type="noConversion"/>
  </si>
  <si>
    <t>分配之部</t>
    <phoneticPr fontId="2" type="noConversion"/>
  </si>
  <si>
    <t xml:space="preserve">  填補累積短絀</t>
    <phoneticPr fontId="2" type="noConversion"/>
  </si>
  <si>
    <t xml:space="preserve">  提存公積</t>
    <phoneticPr fontId="2" type="noConversion"/>
  </si>
  <si>
    <t xml:space="preserve">  賸餘撥充基金數</t>
    <phoneticPr fontId="2" type="noConversion"/>
  </si>
  <si>
    <t xml:space="preserve">  解繳國庫淨額</t>
    <phoneticPr fontId="2" type="noConversion"/>
  </si>
  <si>
    <t xml:space="preserve">  其他依法分配數</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</si>
  <si>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</si>
  <si>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r>
      <t>說</t>
    </r>
    <r>
      <rPr>
        <sz val="12"/>
        <color indexed="8"/>
        <rFont val="Times New Roman"/>
        <family val="1"/>
      </rPr>
      <t xml:space="preserve">                                         </t>
    </r>
    <r>
      <rPr>
        <sz val="12"/>
        <color indexed="8"/>
        <rFont val="標楷體"/>
        <family val="4"/>
        <charset val="136"/>
      </rPr>
      <t>明</t>
    </r>
    <phoneticPr fontId="2" type="noConversion"/>
  </si>
  <si>
    <t>業務活動之現金流量</t>
    <phoneticPr fontId="2" type="noConversion"/>
  </si>
  <si>
    <t xml:space="preserve">  本期賸餘(短絀-)</t>
    <phoneticPr fontId="2" type="noConversion"/>
  </si>
  <si>
    <t xml:space="preserve">  調整非現金項目</t>
    <phoneticPr fontId="2" type="noConversion"/>
  </si>
  <si>
    <t xml:space="preserve">  增加固定資產及遞耗資產</t>
    <phoneticPr fontId="2" type="noConversion"/>
  </si>
  <si>
    <t xml:space="preserve">    增加固定資產</t>
    <phoneticPr fontId="2" type="noConversion"/>
  </si>
  <si>
    <t xml:space="preserve">    增加無形資產</t>
    <phoneticPr fontId="2" type="noConversion"/>
  </si>
  <si>
    <t>現金及約當現金之淨增(淨減-)</t>
    <phoneticPr fontId="2" type="noConversion"/>
  </si>
  <si>
    <t>期初現金及約當現金</t>
    <phoneticPr fontId="2" type="noConversion"/>
  </si>
  <si>
    <t>期末現金及約當現金</t>
    <phoneticPr fontId="2" type="noConversion"/>
  </si>
  <si>
    <r>
      <t xml:space="preserve">    攤銷</t>
    </r>
    <r>
      <rPr>
        <sz val="11"/>
        <color indexed="8"/>
        <rFont val="Times New Roman"/>
        <family val="1"/>
      </rPr>
      <t/>
    </r>
    <phoneticPr fontId="2" type="noConversion"/>
  </si>
  <si>
    <t xml:space="preserve">    流動負債淨增(淨減-)</t>
    <phoneticPr fontId="2" type="noConversion"/>
  </si>
  <si>
    <t xml:space="preserve">  增加無形資產、遞延借項及其他資產</t>
    <phoneticPr fontId="2" type="noConversion"/>
  </si>
  <si>
    <t xml:space="preserve">    業務活動之淨現金流入(流出-)</t>
    <phoneticPr fontId="2" type="noConversion"/>
  </si>
  <si>
    <t>勞務收入</t>
    <phoneticPr fontId="2" type="noConversion"/>
  </si>
  <si>
    <t xml:space="preserve">  報名費收入</t>
    <phoneticPr fontId="2" type="noConversion"/>
  </si>
  <si>
    <t xml:space="preserve">    公務人員高等暨普通考試</t>
    <phoneticPr fontId="2" type="noConversion"/>
  </si>
  <si>
    <t xml:space="preserve">    公務人員初等考試</t>
    <phoneticPr fontId="2" type="noConversion"/>
  </si>
  <si>
    <t xml:space="preserve">    公務人員特種考試</t>
    <phoneticPr fontId="2" type="noConversion"/>
  </si>
  <si>
    <t xml:space="preserve">    專門職業及技術人員高等暨普通考試</t>
    <phoneticPr fontId="2" type="noConversion"/>
  </si>
  <si>
    <t xml:space="preserve">    公務人員升官等升資考試</t>
    <phoneticPr fontId="2" type="noConversion"/>
  </si>
  <si>
    <r>
      <t>單價</t>
    </r>
    <r>
      <rPr>
        <sz val="12"/>
        <color indexed="8"/>
        <rFont val="Times New Roman"/>
        <family val="1"/>
      </rPr>
      <t>(</t>
    </r>
    <r>
      <rPr>
        <sz val="12"/>
        <color indexed="8"/>
        <rFont val="標楷體"/>
        <family val="4"/>
        <charset val="136"/>
      </rPr>
      <t>元</t>
    </r>
    <r>
      <rPr>
        <sz val="12"/>
        <color indexed="8"/>
        <rFont val="Times New Roman"/>
        <family val="1"/>
      </rPr>
      <t>)</t>
    </r>
    <phoneticPr fontId="2" type="noConversion"/>
  </si>
  <si>
    <t>科目及業務項目</t>
    <phoneticPr fontId="2" type="noConversion"/>
  </si>
  <si>
    <t>說明</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</si>
  <si>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</si>
  <si>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t xml:space="preserve">  利息收入</t>
    <phoneticPr fontId="2" type="noConversion"/>
  </si>
  <si>
    <r>
      <t xml:space="preserve"> </t>
    </r>
    <r>
      <rPr>
        <b/>
        <sz val="12"/>
        <color indexed="8"/>
        <rFont val="標楷體"/>
        <family val="4"/>
        <charset val="136"/>
      </rPr>
      <t>試務成本</t>
    </r>
    <phoneticPr fontId="2" type="noConversion"/>
  </si>
  <si>
    <t>本年度預算數</t>
    <phoneticPr fontId="2" type="noConversion"/>
  </si>
  <si>
    <t>上年度預算數</t>
    <phoneticPr fontId="2" type="noConversion"/>
  </si>
  <si>
    <t>前年度決算數</t>
    <phoneticPr fontId="2" type="noConversion"/>
  </si>
  <si>
    <t>前年度決算數</t>
    <phoneticPr fontId="2" type="noConversion"/>
  </si>
  <si>
    <t>單位：新臺幣千元</t>
    <phoneticPr fontId="14" type="noConversion"/>
  </si>
  <si>
    <t>項目</t>
    <phoneticPr fontId="14" type="noConversion"/>
  </si>
  <si>
    <r>
      <t>金</t>
    </r>
    <r>
      <rPr>
        <sz val="12"/>
        <rFont val="Times New Roman"/>
        <family val="1"/>
      </rPr>
      <t xml:space="preserve">       </t>
    </r>
    <r>
      <rPr>
        <sz val="12"/>
        <rFont val="標楷體"/>
        <family val="4"/>
        <charset val="136"/>
      </rPr>
      <t>額</t>
    </r>
    <phoneticPr fontId="14" type="noConversion"/>
  </si>
  <si>
    <t>　　國庫增撥數</t>
    <phoneticPr fontId="14" type="noConversion"/>
  </si>
  <si>
    <t xml:space="preserve">  應付款項</t>
    <phoneticPr fontId="2" type="noConversion"/>
  </si>
  <si>
    <t xml:space="preserve">  預收款項</t>
    <phoneticPr fontId="2" type="noConversion"/>
  </si>
  <si>
    <t>比較增減(-)</t>
    <phoneticPr fontId="2" type="noConversion"/>
  </si>
  <si>
    <t>科                   目</t>
    <phoneticPr fontId="2" type="noConversion"/>
  </si>
  <si>
    <t>考選部</t>
    <phoneticPr fontId="8" type="noConversion"/>
  </si>
  <si>
    <t>考選業務基金</t>
    <phoneticPr fontId="8" type="noConversion"/>
  </si>
  <si>
    <t>5年來主要營運項目分析表</t>
    <phoneticPr fontId="2" type="noConversion"/>
  </si>
  <si>
    <r>
      <t>說</t>
    </r>
    <r>
      <rPr>
        <sz val="12"/>
        <rFont val="標楷體"/>
        <family val="4"/>
        <charset val="136"/>
      </rPr>
      <t>明</t>
    </r>
    <phoneticPr fontId="14" type="noConversion"/>
  </si>
  <si>
    <t>單位︰新臺幣千元</t>
    <phoneticPr fontId="14" type="noConversion"/>
  </si>
  <si>
    <t>以前年度
預算數</t>
    <phoneticPr fontId="14" type="noConversion"/>
  </si>
  <si>
    <t>本期賸餘</t>
    <phoneticPr fontId="2" type="noConversion"/>
  </si>
  <si>
    <t>單位成本(元)</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</si>
  <si>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</si>
  <si>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r>
      <t>附</t>
    </r>
    <r>
      <rPr>
        <b/>
        <sz val="36"/>
        <rFont val="Times New Roman"/>
        <family val="1"/>
      </rPr>
      <t xml:space="preserve">          </t>
    </r>
    <r>
      <rPr>
        <b/>
        <sz val="36"/>
        <rFont val="標楷體"/>
        <family val="4"/>
        <charset val="136"/>
      </rPr>
      <t>錄</t>
    </r>
    <phoneticPr fontId="14" type="noConversion"/>
  </si>
  <si>
    <r>
      <t>說</t>
    </r>
    <r>
      <rPr>
        <sz val="12"/>
        <color indexed="8"/>
        <rFont val="Times New Roman"/>
        <family val="1"/>
      </rPr>
      <t xml:space="preserve">          </t>
    </r>
    <r>
      <rPr>
        <sz val="12"/>
        <color indexed="8"/>
        <rFont val="標楷體"/>
        <family val="4"/>
        <charset val="136"/>
      </rPr>
      <t>明</t>
    </r>
    <phoneticPr fontId="2" type="noConversion"/>
  </si>
  <si>
    <t>國內
借款</t>
    <phoneticPr fontId="14" type="noConversion"/>
  </si>
  <si>
    <t>國外
借款</t>
    <phoneticPr fontId="14" type="noConversion"/>
  </si>
  <si>
    <t>金額</t>
    <phoneticPr fontId="14" type="noConversion"/>
  </si>
  <si>
    <t>小　計</t>
    <phoneticPr fontId="14" type="noConversion"/>
  </si>
  <si>
    <r>
      <t xml:space="preserve">    </t>
    </r>
    <r>
      <rPr>
        <sz val="12"/>
        <color indexed="8"/>
        <rFont val="標楷體"/>
        <family val="4"/>
        <charset val="136"/>
      </rPr>
      <t>一次性項目</t>
    </r>
    <phoneticPr fontId="14" type="noConversion"/>
  </si>
  <si>
    <t xml:space="preserve">    </t>
    <phoneticPr fontId="14" type="noConversion"/>
  </si>
  <si>
    <t>中華民國</t>
    <phoneticPr fontId="14" type="noConversion"/>
  </si>
  <si>
    <r>
      <t>固定資產建設改良擴充</t>
    </r>
    <r>
      <rPr>
        <b/>
        <sz val="16"/>
        <color indexed="8"/>
        <rFont val="Times New Roman"/>
        <family val="1"/>
      </rPr>
      <t/>
    </r>
    <phoneticPr fontId="14" type="noConversion"/>
  </si>
  <si>
    <r>
      <t>考選業</t>
    </r>
    <r>
      <rPr>
        <u/>
        <sz val="16"/>
        <color indexed="8"/>
        <rFont val="Times New Roman"/>
        <family val="1"/>
      </rPr>
      <t/>
    </r>
    <phoneticPr fontId="14" type="noConversion"/>
  </si>
  <si>
    <r>
      <t>考選</t>
    </r>
    <r>
      <rPr>
        <u/>
        <sz val="18"/>
        <color indexed="8"/>
        <rFont val="Times New Roman"/>
        <family val="1"/>
      </rPr>
      <t/>
    </r>
    <phoneticPr fontId="14" type="noConversion"/>
  </si>
  <si>
    <t>部</t>
    <phoneticPr fontId="14" type="noConversion"/>
  </si>
  <si>
    <t>務基金</t>
    <phoneticPr fontId="14" type="noConversion"/>
  </si>
  <si>
    <t>計畫預期進度明細表</t>
    <phoneticPr fontId="14" type="noConversion"/>
  </si>
  <si>
    <r>
      <t>參</t>
    </r>
    <r>
      <rPr>
        <b/>
        <sz val="36"/>
        <rFont val="Times New Roman"/>
        <family val="1"/>
      </rPr>
      <t xml:space="preserve">  </t>
    </r>
    <r>
      <rPr>
        <b/>
        <sz val="36"/>
        <rFont val="標楷體"/>
        <family val="4"/>
        <charset val="136"/>
      </rPr>
      <t>考</t>
    </r>
    <r>
      <rPr>
        <b/>
        <sz val="36"/>
        <rFont val="Times New Roman"/>
        <family val="1"/>
      </rPr>
      <t xml:space="preserve">  </t>
    </r>
    <r>
      <rPr>
        <b/>
        <sz val="36"/>
        <rFont val="標楷體"/>
        <family val="4"/>
        <charset val="136"/>
      </rPr>
      <t>表</t>
    </r>
    <phoneticPr fontId="14" type="noConversion"/>
  </si>
  <si>
    <t xml:space="preserve">    氣體費</t>
    <phoneticPr fontId="2" type="noConversion"/>
  </si>
  <si>
    <t xml:space="preserve">    郵費</t>
    <phoneticPr fontId="2" type="noConversion"/>
  </si>
  <si>
    <t xml:space="preserve">    電話費</t>
    <phoneticPr fontId="2" type="noConversion"/>
  </si>
  <si>
    <t xml:space="preserve">    數據通信費</t>
    <phoneticPr fontId="2" type="noConversion"/>
  </si>
  <si>
    <t xml:space="preserve">    貨物運費</t>
    <phoneticPr fontId="2" type="noConversion"/>
  </si>
  <si>
    <t xml:space="preserve">    其他旅運費</t>
    <phoneticPr fontId="2" type="noConversion"/>
  </si>
  <si>
    <t xml:space="preserve">    業務宣導費</t>
    <phoneticPr fontId="2" type="noConversion"/>
  </si>
  <si>
    <t xml:space="preserve">    一般房屋修護費</t>
    <phoneticPr fontId="2" type="noConversion"/>
  </si>
  <si>
    <t xml:space="preserve">    機械及設備修護費</t>
    <phoneticPr fontId="2" type="noConversion"/>
  </si>
  <si>
    <t xml:space="preserve">    什項設備修護費</t>
    <phoneticPr fontId="2" type="noConversion"/>
  </si>
  <si>
    <t xml:space="preserve">    現金、存款及貨物保險費</t>
    <phoneticPr fontId="2" type="noConversion"/>
  </si>
  <si>
    <t>合      計</t>
    <phoneticPr fontId="2" type="noConversion"/>
  </si>
  <si>
    <r>
      <t>科</t>
    </r>
    <r>
      <rPr>
        <sz val="12"/>
        <rFont val="Times New Roman"/>
        <family val="1"/>
      </rPr>
      <t xml:space="preserve">                   </t>
    </r>
    <r>
      <rPr>
        <sz val="12"/>
        <rFont val="標楷體"/>
        <family val="4"/>
        <charset val="136"/>
      </rPr>
      <t>目</t>
    </r>
    <phoneticPr fontId="2" type="noConversion"/>
  </si>
  <si>
    <r>
      <t>比較增減</t>
    </r>
    <r>
      <rPr>
        <sz val="12"/>
        <rFont val="Times New Roman"/>
        <family val="1"/>
      </rPr>
      <t>(-)</t>
    </r>
    <phoneticPr fontId="2" type="noConversion"/>
  </si>
  <si>
    <t>金額</t>
    <phoneticPr fontId="2" type="noConversion"/>
  </si>
  <si>
    <t>%</t>
    <phoneticPr fontId="2" type="noConversion"/>
  </si>
  <si>
    <t>業務收入</t>
    <phoneticPr fontId="2" type="noConversion"/>
  </si>
  <si>
    <r>
      <t xml:space="preserve">    </t>
    </r>
    <r>
      <rPr>
        <sz val="12"/>
        <rFont val="標楷體"/>
        <family val="4"/>
        <charset val="136"/>
      </rPr>
      <t>勞務收入</t>
    </r>
    <phoneticPr fontId="2" type="noConversion"/>
  </si>
  <si>
    <r>
      <t xml:space="preserve">        </t>
    </r>
    <r>
      <rPr>
        <sz val="12"/>
        <rFont val="標楷體"/>
        <family val="4"/>
        <charset val="136"/>
      </rPr>
      <t>報名費收入</t>
    </r>
    <phoneticPr fontId="2" type="noConversion"/>
  </si>
  <si>
    <r>
      <t xml:space="preserve">    </t>
    </r>
    <r>
      <rPr>
        <sz val="12"/>
        <rFont val="標楷體"/>
        <family val="4"/>
        <charset val="136"/>
      </rPr>
      <t>其他業務收入</t>
    </r>
    <phoneticPr fontId="2" type="noConversion"/>
  </si>
  <si>
    <r>
      <t xml:space="preserve">    </t>
    </r>
    <r>
      <rPr>
        <sz val="12"/>
        <rFont val="標楷體"/>
        <family val="4"/>
        <charset val="136"/>
      </rPr>
      <t>勞務成本</t>
    </r>
    <phoneticPr fontId="2" type="noConversion"/>
  </si>
  <si>
    <r>
      <t xml:space="preserve">      </t>
    </r>
    <r>
      <rPr>
        <sz val="12"/>
        <rFont val="標楷體"/>
        <family val="4"/>
        <charset val="136"/>
      </rPr>
      <t>試務成本</t>
    </r>
    <phoneticPr fontId="2" type="noConversion"/>
  </si>
  <si>
    <r>
      <t xml:space="preserve">   </t>
    </r>
    <r>
      <rPr>
        <sz val="12"/>
        <rFont val="標楷體"/>
        <family val="4"/>
        <charset val="136"/>
      </rPr>
      <t>其他業務成本</t>
    </r>
    <phoneticPr fontId="2" type="noConversion"/>
  </si>
  <si>
    <r>
      <t xml:space="preserve">       </t>
    </r>
    <r>
      <rPr>
        <sz val="12"/>
        <rFont val="標楷體"/>
        <family val="4"/>
        <charset val="136"/>
      </rPr>
      <t>雜項業務成本</t>
    </r>
    <phoneticPr fontId="2" type="noConversion"/>
  </si>
  <si>
    <t>業務外收入</t>
    <phoneticPr fontId="2" type="noConversion"/>
  </si>
  <si>
    <t>業務外費用</t>
    <phoneticPr fontId="2" type="noConversion"/>
  </si>
  <si>
    <r>
      <t xml:space="preserve">    </t>
    </r>
    <r>
      <rPr>
        <sz val="12"/>
        <rFont val="標楷體"/>
        <family val="4"/>
        <charset val="136"/>
      </rPr>
      <t>財務收入</t>
    </r>
    <phoneticPr fontId="2" type="noConversion"/>
  </si>
  <si>
    <r>
      <t xml:space="preserve">         </t>
    </r>
    <r>
      <rPr>
        <sz val="12"/>
        <rFont val="標楷體"/>
        <family val="4"/>
        <charset val="136"/>
      </rPr>
      <t>利息收入</t>
    </r>
    <phoneticPr fontId="2" type="noConversion"/>
  </si>
  <si>
    <r>
      <t xml:space="preserve">    </t>
    </r>
    <r>
      <rPr>
        <sz val="12"/>
        <rFont val="標楷體"/>
        <family val="4"/>
        <charset val="136"/>
      </rPr>
      <t>其他業務外收入</t>
    </r>
    <phoneticPr fontId="2" type="noConversion"/>
  </si>
  <si>
    <r>
      <t xml:space="preserve">         </t>
    </r>
    <r>
      <rPr>
        <sz val="12"/>
        <rFont val="標楷體"/>
        <family val="4"/>
        <charset val="136"/>
      </rPr>
      <t>資產使用及權利金收入</t>
    </r>
    <phoneticPr fontId="2" type="noConversion"/>
  </si>
  <si>
    <r>
      <t xml:space="preserve">    </t>
    </r>
    <r>
      <rPr>
        <sz val="12"/>
        <rFont val="標楷體"/>
        <family val="4"/>
        <charset val="136"/>
      </rPr>
      <t>其他業務外費用</t>
    </r>
    <phoneticPr fontId="2" type="noConversion"/>
  </si>
  <si>
    <r>
      <t xml:space="preserve">        </t>
    </r>
    <r>
      <rPr>
        <sz val="12"/>
        <rFont val="標楷體"/>
        <family val="4"/>
        <charset val="136"/>
      </rPr>
      <t>雜項費用</t>
    </r>
    <phoneticPr fontId="2" type="noConversion"/>
  </si>
  <si>
    <t>外　借　資　金</t>
    <phoneticPr fontId="14" type="noConversion"/>
  </si>
  <si>
    <r>
      <t>項</t>
    </r>
    <r>
      <rPr>
        <sz val="12"/>
        <rFont val="Times New Roman"/>
        <family val="1"/>
      </rPr>
      <t xml:space="preserve">                     </t>
    </r>
    <r>
      <rPr>
        <sz val="12"/>
        <rFont val="標楷體"/>
        <family val="4"/>
        <charset val="136"/>
      </rPr>
      <t>目</t>
    </r>
    <phoneticPr fontId="14" type="noConversion"/>
  </si>
  <si>
    <t>土地改良物</t>
    <phoneticPr fontId="14" type="noConversion"/>
  </si>
  <si>
    <t>房屋及建築</t>
    <phoneticPr fontId="14" type="noConversion"/>
  </si>
  <si>
    <t>前年度決算資產原值</t>
    <phoneticPr fontId="14" type="noConversion"/>
  </si>
  <si>
    <t>資產重估增值額</t>
    <phoneticPr fontId="14" type="noConversion"/>
  </si>
  <si>
    <t>本年度(12月底)止資產總額</t>
    <phoneticPr fontId="14" type="noConversion"/>
  </si>
  <si>
    <t>折舊方法</t>
    <phoneticPr fontId="14" type="noConversion"/>
  </si>
  <si>
    <t>折舊率</t>
    <phoneticPr fontId="14" type="noConversion"/>
  </si>
  <si>
    <t>本年度應提折舊額</t>
    <phoneticPr fontId="14" type="noConversion"/>
  </si>
  <si>
    <r>
      <t xml:space="preserve">    </t>
    </r>
    <r>
      <rPr>
        <sz val="12"/>
        <rFont val="標楷體"/>
        <family val="4"/>
        <charset val="136"/>
      </rPr>
      <t>勞務成本</t>
    </r>
    <phoneticPr fontId="14" type="noConversion"/>
  </si>
  <si>
    <t>直　線　法</t>
    <phoneticPr fontId="14" type="noConversion"/>
  </si>
  <si>
    <t>合  計</t>
    <phoneticPr fontId="14" type="noConversion"/>
  </si>
  <si>
    <t>資　　產</t>
    <phoneticPr fontId="2" type="noConversion"/>
  </si>
  <si>
    <t>負　　債</t>
    <phoneticPr fontId="2" type="noConversion"/>
  </si>
  <si>
    <t>收入</t>
  </si>
  <si>
    <t>收入合計</t>
  </si>
  <si>
    <t>以後
年度</t>
    <phoneticPr fontId="14" type="noConversion"/>
  </si>
  <si>
    <r>
      <t>合</t>
    </r>
    <r>
      <rPr>
        <b/>
        <sz val="12"/>
        <color indexed="8"/>
        <rFont val="Times New Roman"/>
        <family val="1"/>
      </rPr>
      <t xml:space="preserve">           </t>
    </r>
    <r>
      <rPr>
        <b/>
        <sz val="12"/>
        <color indexed="8"/>
        <rFont val="標楷體"/>
        <family val="4"/>
        <charset val="136"/>
      </rPr>
      <t>計</t>
    </r>
    <phoneticPr fontId="2" type="noConversion"/>
  </si>
  <si>
    <t>合　　計</t>
    <phoneticPr fontId="2" type="noConversion"/>
  </si>
  <si>
    <r>
      <t xml:space="preserve">  </t>
    </r>
    <r>
      <rPr>
        <sz val="12"/>
        <color indexed="8"/>
        <rFont val="標楷體"/>
        <family val="4"/>
        <charset val="136"/>
      </rPr>
      <t xml:space="preserve"> 財務收入</t>
    </r>
    <phoneticPr fontId="14" type="noConversion"/>
  </si>
  <si>
    <t>收入總額</t>
    <phoneticPr fontId="14"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</si>
  <si>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4" type="noConversion"/>
  </si>
  <si>
    <t>淨　　值</t>
    <phoneticPr fontId="2" type="noConversion"/>
  </si>
  <si>
    <t>資產合計</t>
    <phoneticPr fontId="2" type="noConversion"/>
  </si>
  <si>
    <t>考選部</t>
    <phoneticPr fontId="2" type="noConversion"/>
  </si>
  <si>
    <t>考選業務基金</t>
    <phoneticPr fontId="2" type="noConversion"/>
  </si>
  <si>
    <t>勞務收入明細表</t>
    <phoneticPr fontId="2" type="noConversion"/>
  </si>
  <si>
    <t>考選部</t>
    <phoneticPr fontId="14" type="noConversion"/>
  </si>
  <si>
    <t>其他</t>
    <phoneticPr fontId="2" type="noConversion"/>
  </si>
  <si>
    <r>
      <t xml:space="preserve">     </t>
    </r>
    <r>
      <rPr>
        <sz val="12"/>
        <color indexed="8"/>
        <rFont val="標楷體"/>
        <family val="4"/>
        <charset val="136"/>
      </rPr>
      <t>什項設備租金</t>
    </r>
    <phoneticPr fontId="2" type="noConversion"/>
  </si>
  <si>
    <r>
      <t xml:space="preserve">    </t>
    </r>
    <r>
      <rPr>
        <sz val="12"/>
        <color indexed="8"/>
        <rFont val="標楷體"/>
        <family val="4"/>
        <charset val="136"/>
      </rPr>
      <t>修理保養及保固費</t>
    </r>
    <phoneticPr fontId="2" type="noConversion"/>
  </si>
  <si>
    <r>
      <t xml:space="preserve">     </t>
    </r>
    <r>
      <rPr>
        <sz val="12"/>
        <color indexed="8"/>
        <rFont val="標楷體"/>
        <family val="4"/>
        <charset val="136"/>
      </rPr>
      <t>地租及水租</t>
    </r>
    <phoneticPr fontId="2" type="noConversion"/>
  </si>
  <si>
    <t>考選部</t>
    <phoneticPr fontId="2" type="noConversion"/>
  </si>
  <si>
    <t>考選業務基金</t>
    <phoneticPr fontId="2" type="noConversion"/>
  </si>
  <si>
    <t>前年度決算數</t>
    <phoneticPr fontId="2" type="noConversion"/>
  </si>
  <si>
    <t>上年度預算數</t>
    <phoneticPr fontId="2" type="noConversion"/>
  </si>
  <si>
    <t>科目及業務計畫項目</t>
    <phoneticPr fontId="2" type="noConversion"/>
  </si>
  <si>
    <t>本年度預算數</t>
    <phoneticPr fontId="2" type="noConversion"/>
  </si>
  <si>
    <t>服務費用</t>
    <phoneticPr fontId="2" type="noConversion"/>
  </si>
  <si>
    <t xml:space="preserve">  水電費</t>
    <phoneticPr fontId="2" type="noConversion"/>
  </si>
  <si>
    <t xml:space="preserve">    工作場所電費</t>
    <phoneticPr fontId="2" type="noConversion"/>
  </si>
  <si>
    <t xml:space="preserve">    工作場所水費</t>
    <phoneticPr fontId="2" type="noConversion"/>
  </si>
  <si>
    <r>
      <t xml:space="preserve">        </t>
    </r>
    <r>
      <rPr>
        <sz val="11"/>
        <color indexed="8"/>
        <rFont val="標楷體"/>
        <family val="4"/>
        <charset val="136"/>
      </rPr>
      <t>氣體費</t>
    </r>
    <phoneticPr fontId="2" type="noConversion"/>
  </si>
  <si>
    <t xml:space="preserve">  郵電費</t>
    <phoneticPr fontId="2" type="noConversion"/>
  </si>
  <si>
    <t xml:space="preserve">    郵費</t>
    <phoneticPr fontId="2" type="noConversion"/>
  </si>
  <si>
    <t xml:space="preserve">    電話費</t>
    <phoneticPr fontId="2" type="noConversion"/>
  </si>
  <si>
    <t xml:space="preserve">  旅運費</t>
    <phoneticPr fontId="2" type="noConversion"/>
  </si>
  <si>
    <t xml:space="preserve">    國內旅費</t>
    <phoneticPr fontId="2" type="noConversion"/>
  </si>
  <si>
    <r>
      <t xml:space="preserve">        </t>
    </r>
    <r>
      <rPr>
        <sz val="11"/>
        <rFont val="標楷體"/>
        <family val="4"/>
        <charset val="136"/>
      </rPr>
      <t>貨物運費</t>
    </r>
    <phoneticPr fontId="2" type="noConversion"/>
  </si>
  <si>
    <t xml:space="preserve">  印刷裝訂與廣告費</t>
    <phoneticPr fontId="2" type="noConversion"/>
  </si>
  <si>
    <t xml:space="preserve">    印刷及裝訂費</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</si>
  <si>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</si>
  <si>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</si>
  <si>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2"/>
        <color indexed="8"/>
        <rFont val="標楷體"/>
        <family val="4"/>
        <charset val="136"/>
      </rPr>
      <t>保險費</t>
    </r>
    <phoneticPr fontId="2" type="noConversion"/>
  </si>
  <si>
    <r>
      <t xml:space="preserve">        </t>
    </r>
    <r>
      <rPr>
        <sz val="11"/>
        <color indexed="8"/>
        <rFont val="標楷體"/>
        <family val="4"/>
        <charset val="136"/>
      </rPr>
      <t>責任保險費</t>
    </r>
    <phoneticPr fontId="2" type="noConversion"/>
  </si>
  <si>
    <r>
      <t xml:space="preserve">        </t>
    </r>
    <r>
      <rPr>
        <sz val="11"/>
        <color indexed="8"/>
        <rFont val="標楷體"/>
        <family val="4"/>
        <charset val="136"/>
      </rPr>
      <t>其他保險費</t>
    </r>
    <phoneticPr fontId="2" type="noConversion"/>
  </si>
  <si>
    <r>
      <t xml:space="preserve">         </t>
    </r>
    <r>
      <rPr>
        <sz val="12"/>
        <rFont val="標楷體"/>
        <family val="4"/>
        <charset val="136"/>
      </rPr>
      <t>違規罰款收入</t>
    </r>
    <phoneticPr fontId="2" type="noConversion"/>
  </si>
  <si>
    <r>
      <t xml:space="preserve">         </t>
    </r>
    <r>
      <rPr>
        <sz val="12"/>
        <rFont val="標楷體"/>
        <family val="4"/>
        <charset val="136"/>
      </rPr>
      <t>雜項收入</t>
    </r>
    <phoneticPr fontId="2" type="noConversion"/>
  </si>
  <si>
    <t>　　交通及運輸設備修護費</t>
    <phoneticPr fontId="2" type="noConversion"/>
  </si>
  <si>
    <r>
      <t xml:space="preserve">        </t>
    </r>
    <r>
      <rPr>
        <sz val="11"/>
        <color indexed="8"/>
        <rFont val="標楷體"/>
        <family val="4"/>
        <charset val="136"/>
      </rPr>
      <t>什項設備修護費</t>
    </r>
    <phoneticPr fontId="2" type="noConversion"/>
  </si>
  <si>
    <t>平均</t>
    <phoneticPr fontId="2" type="noConversion"/>
  </si>
  <si>
    <t>移列公務爭取額度外900</t>
    <phoneticPr fontId="2" type="noConversion"/>
  </si>
  <si>
    <r>
      <t>汰換</t>
    </r>
    <r>
      <rPr>
        <sz val="11"/>
        <rFont val="Times New Roman"/>
        <family val="1"/>
      </rPr>
      <t/>
    </r>
    <phoneticPr fontId="14" type="noConversion"/>
  </si>
  <si>
    <t>前年度決算數</t>
    <phoneticPr fontId="14" type="noConversion"/>
  </si>
  <si>
    <t>一般建築及設備計畫之分年性項目明細表</t>
    <phoneticPr fontId="14" type="noConversion"/>
  </si>
  <si>
    <t>考選部</t>
    <phoneticPr fontId="14" type="noConversion"/>
  </si>
  <si>
    <t>考選業務基金</t>
    <phoneticPr fontId="14" type="noConversion"/>
  </si>
  <si>
    <t>資產折舊明細表</t>
    <phoneticPr fontId="14" type="noConversion"/>
  </si>
  <si>
    <r>
      <t>項</t>
    </r>
    <r>
      <rPr>
        <sz val="12"/>
        <rFont val="Times New Roman"/>
        <family val="1"/>
      </rPr>
      <t xml:space="preserve">                     </t>
    </r>
    <r>
      <rPr>
        <sz val="12"/>
        <rFont val="標楷體"/>
        <family val="4"/>
        <charset val="136"/>
      </rPr>
      <t>目</t>
    </r>
    <phoneticPr fontId="14" type="noConversion"/>
  </si>
  <si>
    <t>土地改良物</t>
    <phoneticPr fontId="14" type="noConversion"/>
  </si>
  <si>
    <t>房屋及建築</t>
    <phoneticPr fontId="14" type="noConversion"/>
  </si>
  <si>
    <t>機械及設備</t>
    <phoneticPr fontId="14" type="noConversion"/>
  </si>
  <si>
    <t>合計</t>
    <phoneticPr fontId="14" type="noConversion"/>
  </si>
  <si>
    <t>前年度決算資產原值</t>
    <phoneticPr fontId="14" type="noConversion"/>
  </si>
  <si>
    <t>上年度預計新增資產原值</t>
    <phoneticPr fontId="14" type="noConversion"/>
  </si>
  <si>
    <t>本年度預計新增資產原值</t>
    <phoneticPr fontId="14" type="noConversion"/>
  </si>
  <si>
    <t>資產重估增值額</t>
    <phoneticPr fontId="14" type="noConversion"/>
  </si>
  <si>
    <t>本年度(12月底)止資產總額</t>
    <phoneticPr fontId="14" type="noConversion"/>
  </si>
  <si>
    <t>折舊方法</t>
    <phoneticPr fontId="14" type="noConversion"/>
  </si>
  <si>
    <t>直　線　法</t>
    <phoneticPr fontId="14" type="noConversion"/>
  </si>
  <si>
    <t>折舊率</t>
    <phoneticPr fontId="14"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</si>
  <si>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4" type="noConversion"/>
  </si>
  <si>
    <t>本年度應提折舊額</t>
    <phoneticPr fontId="14" type="noConversion"/>
  </si>
  <si>
    <r>
      <t xml:space="preserve">    </t>
    </r>
    <r>
      <rPr>
        <sz val="12"/>
        <rFont val="標楷體"/>
        <family val="4"/>
        <charset val="136"/>
      </rPr>
      <t>勞務成本</t>
    </r>
    <phoneticPr fontId="14" type="noConversion"/>
  </si>
  <si>
    <t>考選部</t>
    <phoneticPr fontId="14" type="noConversion"/>
  </si>
  <si>
    <t>考選業務基金</t>
    <phoneticPr fontId="14" type="noConversion"/>
  </si>
  <si>
    <t>單位：新臺幣千元</t>
    <phoneticPr fontId="14" type="noConversion"/>
  </si>
  <si>
    <t>項目</t>
    <phoneticPr fontId="14" type="noConversion"/>
  </si>
  <si>
    <r>
      <t>金</t>
    </r>
    <r>
      <rPr>
        <sz val="12"/>
        <rFont val="Times New Roman"/>
        <family val="1"/>
      </rPr>
      <t xml:space="preserve">       </t>
    </r>
    <r>
      <rPr>
        <sz val="12"/>
        <rFont val="標楷體"/>
        <family val="4"/>
        <charset val="136"/>
      </rPr>
      <t>額</t>
    </r>
    <phoneticPr fontId="14" type="noConversion"/>
  </si>
  <si>
    <t>　　國庫增撥數</t>
    <phoneticPr fontId="14" type="noConversion"/>
  </si>
  <si>
    <t xml:space="preserve">  應收款項</t>
    <phoneticPr fontId="2" type="noConversion"/>
  </si>
  <si>
    <t xml:space="preserve">    應收利息</t>
    <phoneticPr fontId="2" type="noConversion"/>
  </si>
  <si>
    <t xml:space="preserve">    其他應收款</t>
    <phoneticPr fontId="2" type="noConversion"/>
  </si>
  <si>
    <t>機械及設備</t>
    <phoneticPr fontId="5" type="noConversion"/>
  </si>
  <si>
    <t>減:累計折舊-機械及設
　　備</t>
    <phoneticPr fontId="5" type="noConversion"/>
  </si>
  <si>
    <t>什項設備</t>
    <phoneticPr fontId="2" type="noConversion"/>
  </si>
  <si>
    <t xml:space="preserve">    減:累計折舊-什項設備</t>
    <phoneticPr fontId="2" type="noConversion"/>
  </si>
  <si>
    <t>其他資產</t>
    <phoneticPr fontId="5" type="noConversion"/>
  </si>
  <si>
    <t xml:space="preserve">  什項資產</t>
    <phoneticPr fontId="5" type="noConversion"/>
  </si>
  <si>
    <t xml:space="preserve">    存出保證金</t>
    <phoneticPr fontId="5" type="noConversion"/>
  </si>
  <si>
    <t>　　應付代收款</t>
    <phoneticPr fontId="2" type="noConversion"/>
  </si>
  <si>
    <t>　　應付薪工</t>
    <phoneticPr fontId="2" type="noConversion"/>
  </si>
  <si>
    <t>　　應付費用</t>
    <phoneticPr fontId="2" type="noConversion"/>
  </si>
  <si>
    <t>　　應付稅款</t>
    <phoneticPr fontId="2" type="noConversion"/>
  </si>
  <si>
    <t>　　其他應付款</t>
    <phoneticPr fontId="2" type="noConversion"/>
  </si>
  <si>
    <t>　　預收收入</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</si>
  <si>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</si>
  <si>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</si>
  <si>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</si>
  <si>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</si>
  <si>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負債及淨值合計</t>
    <phoneticPr fontId="2"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</si>
  <si>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4" type="noConversion"/>
  </si>
  <si>
    <t>單位</t>
    <phoneticPr fontId="14" type="noConversion"/>
  </si>
  <si>
    <t>數量</t>
    <phoneticPr fontId="14" type="noConversion"/>
  </si>
  <si>
    <t>單位成本(元)</t>
    <phoneticPr fontId="14"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</si>
  <si>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14" type="noConversion"/>
  </si>
  <si>
    <r>
      <t>說</t>
    </r>
    <r>
      <rPr>
        <sz val="12"/>
        <rFont val="標楷體"/>
        <family val="4"/>
        <charset val="136"/>
      </rPr>
      <t>明</t>
    </r>
    <phoneticPr fontId="14" type="noConversion"/>
  </si>
  <si>
    <t>前年度決算數</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</si>
  <si>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</si>
  <si>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平衡表</t>
    <phoneticPr fontId="2" type="noConversion"/>
  </si>
  <si>
    <t>預計</t>
    <phoneticPr fontId="2" type="noConversion"/>
  </si>
  <si>
    <t>部</t>
    <phoneticPr fontId="2" type="noConversion"/>
  </si>
  <si>
    <t>考選</t>
    <phoneticPr fontId="2" type="noConversion"/>
  </si>
  <si>
    <t>務基金</t>
    <phoneticPr fontId="2" type="noConversion"/>
  </si>
  <si>
    <t>考選業</t>
    <phoneticPr fontId="2" type="noConversion"/>
  </si>
  <si>
    <t>年12月31日</t>
    <phoneticPr fontId="2" type="noConversion"/>
  </si>
  <si>
    <t>科                   目</t>
    <phoneticPr fontId="2" type="noConversion"/>
  </si>
  <si>
    <t>比較增減(-)</t>
    <phoneticPr fontId="2" type="noConversion"/>
  </si>
  <si>
    <t>資　　產</t>
    <phoneticPr fontId="2" type="noConversion"/>
  </si>
  <si>
    <t>流動負債</t>
    <phoneticPr fontId="2" type="noConversion"/>
  </si>
  <si>
    <t xml:space="preserve">  現金</t>
    <phoneticPr fontId="2" type="noConversion"/>
  </si>
  <si>
    <t xml:space="preserve">  應付款項</t>
    <phoneticPr fontId="2" type="noConversion"/>
  </si>
  <si>
    <t xml:space="preserve">    銀行存款</t>
    <phoneticPr fontId="2" type="noConversion"/>
  </si>
  <si>
    <t>　　應付代收款</t>
    <phoneticPr fontId="2" type="noConversion"/>
  </si>
  <si>
    <t xml:space="preserve">  應收款項</t>
    <phoneticPr fontId="2" type="noConversion"/>
  </si>
  <si>
    <t>　　應付薪工</t>
    <phoneticPr fontId="2" type="noConversion"/>
  </si>
  <si>
    <t xml:space="preserve">    應收利息</t>
    <phoneticPr fontId="2" type="noConversion"/>
  </si>
  <si>
    <t>　　應付費用</t>
    <phoneticPr fontId="2" type="noConversion"/>
  </si>
  <si>
    <t xml:space="preserve">    其他應收款</t>
    <phoneticPr fontId="2" type="noConversion"/>
  </si>
  <si>
    <t>　　應付稅款</t>
    <phoneticPr fontId="2" type="noConversion"/>
  </si>
  <si>
    <t xml:space="preserve">  預付款項</t>
    <phoneticPr fontId="2" type="noConversion"/>
  </si>
  <si>
    <t>　　其他應付款</t>
    <phoneticPr fontId="2" type="noConversion"/>
  </si>
  <si>
    <t xml:space="preserve">    預付費用</t>
    <phoneticPr fontId="2" type="noConversion"/>
  </si>
  <si>
    <t xml:space="preserve">  預收款項</t>
    <phoneticPr fontId="2" type="noConversion"/>
  </si>
  <si>
    <t>　　預收收入</t>
    <phoneticPr fontId="2" type="noConversion"/>
  </si>
  <si>
    <t>固定資產</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</si>
  <si>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</si>
  <si>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</si>
  <si>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</si>
  <si>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</si>
  <si>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淨　　值</t>
    <phoneticPr fontId="2" type="noConversion"/>
  </si>
  <si>
    <t xml:space="preserve">  購建中固定資產</t>
    <phoneticPr fontId="2" type="noConversion"/>
  </si>
  <si>
    <t xml:space="preserve">  訂購機件及設備款</t>
    <phoneticPr fontId="2" type="noConversion"/>
  </si>
  <si>
    <t>無形資產</t>
    <phoneticPr fontId="5" type="noConversion"/>
  </si>
  <si>
    <t>累積餘(+)絀(-)</t>
    <phoneticPr fontId="2" type="noConversion"/>
  </si>
  <si>
    <t xml:space="preserve">  無形資產</t>
    <phoneticPr fontId="5" type="noConversion"/>
  </si>
  <si>
    <t xml:space="preserve">    電腦軟體</t>
    <phoneticPr fontId="5" type="noConversion"/>
  </si>
  <si>
    <t>其他資產</t>
    <phoneticPr fontId="5" type="noConversion"/>
  </si>
  <si>
    <t xml:space="preserve">  什項資產</t>
    <phoneticPr fontId="5" type="noConversion"/>
  </si>
  <si>
    <t xml:space="preserve">    存出保證金</t>
    <phoneticPr fontId="5" type="noConversion"/>
  </si>
  <si>
    <t>資產合計</t>
    <phoneticPr fontId="2" type="noConversion"/>
  </si>
  <si>
    <t>負債及淨值合計</t>
    <phoneticPr fontId="2" type="noConversion"/>
  </si>
  <si>
    <t>各項費用彙計表</t>
    <phoneticPr fontId="2" type="noConversion"/>
  </si>
  <si>
    <t>前年度
決算數</t>
    <phoneticPr fontId="2" type="noConversion"/>
  </si>
  <si>
    <t>科　　　　　目</t>
    <phoneticPr fontId="2" type="noConversion"/>
  </si>
  <si>
    <t xml:space="preserve">  修理保養及保固費</t>
    <phoneticPr fontId="2" type="noConversion"/>
  </si>
  <si>
    <t xml:space="preserve">  保險費</t>
    <phoneticPr fontId="2" type="noConversion"/>
  </si>
  <si>
    <t xml:space="preserve">  專業服務費</t>
    <phoneticPr fontId="2" type="noConversion"/>
  </si>
  <si>
    <t xml:space="preserve">  公共關係費</t>
    <phoneticPr fontId="2" type="noConversion"/>
  </si>
  <si>
    <t xml:space="preserve">  使用材料費</t>
    <phoneticPr fontId="2" type="noConversion"/>
  </si>
  <si>
    <t xml:space="preserve">  地租及水租</t>
    <phoneticPr fontId="2" type="noConversion"/>
  </si>
  <si>
    <t xml:space="preserve">  房租</t>
    <phoneticPr fontId="2" type="noConversion"/>
  </si>
  <si>
    <t xml:space="preserve">  機器租金</t>
    <phoneticPr fontId="2" type="noConversion"/>
  </si>
  <si>
    <t xml:space="preserve">  交通及運輸設備租金</t>
    <phoneticPr fontId="2" type="noConversion"/>
  </si>
  <si>
    <t xml:space="preserve">  什項設備租金</t>
    <phoneticPr fontId="2" type="noConversion"/>
  </si>
  <si>
    <t>折舊、折耗及攤銷</t>
    <phoneticPr fontId="2" type="noConversion"/>
  </si>
  <si>
    <t xml:space="preserve">  機械及設備折舊</t>
    <phoneticPr fontId="2" type="noConversion"/>
  </si>
  <si>
    <t xml:space="preserve">  交通及運輸設備折舊</t>
    <phoneticPr fontId="2" type="noConversion"/>
  </si>
  <si>
    <t xml:space="preserve">  什項設備折舊</t>
    <phoneticPr fontId="2" type="noConversion"/>
  </si>
  <si>
    <t xml:space="preserve">  攤銷</t>
    <phoneticPr fontId="2" type="noConversion"/>
  </si>
  <si>
    <t xml:space="preserve">  房屋稅</t>
    <phoneticPr fontId="2" type="noConversion"/>
  </si>
  <si>
    <t xml:space="preserve">  消費與行為稅</t>
    <phoneticPr fontId="2" type="noConversion"/>
  </si>
  <si>
    <t>其他</t>
    <phoneticPr fontId="2" type="noConversion"/>
  </si>
  <si>
    <t xml:space="preserve">  其他費用</t>
    <phoneticPr fontId="2" type="noConversion"/>
  </si>
  <si>
    <t>合      計</t>
    <phoneticPr fontId="2" type="noConversion"/>
  </si>
  <si>
    <t>一般建築及設備計畫之分年性項目明細表</t>
    <phoneticPr fontId="14" type="noConversion"/>
  </si>
  <si>
    <t>單位︰新臺幣千元</t>
    <phoneticPr fontId="14" type="noConversion"/>
  </si>
  <si>
    <t>以前年度
預算數</t>
    <phoneticPr fontId="14" type="noConversion"/>
  </si>
  <si>
    <t>考選業務基金目次</t>
    <phoneticPr fontId="2" type="noConversion"/>
  </si>
  <si>
    <r>
      <t>一、業務計畫及預算說明．．</t>
    </r>
    <r>
      <rPr>
        <b/>
        <sz val="12"/>
        <rFont val="標楷體"/>
        <family val="4"/>
        <charset val="136"/>
      </rPr>
      <t>．．．．．．．．．．．．．．．．．．．．．．．．．</t>
    </r>
    <phoneticPr fontId="2" type="noConversion"/>
  </si>
  <si>
    <t>二、預算表</t>
    <phoneticPr fontId="2" type="noConversion"/>
  </si>
  <si>
    <t>（一）主要表</t>
    <phoneticPr fontId="2" type="noConversion"/>
  </si>
  <si>
    <t xml:space="preserve">   1.勞務收入明細表．．．．．．．．．．．．．．．．．．．．．．．．．．．．．．．</t>
    <phoneticPr fontId="2" type="noConversion"/>
  </si>
  <si>
    <t>（三）參考表</t>
    <phoneticPr fontId="2" type="noConversion"/>
  </si>
  <si>
    <t>（四）附錄</t>
    <phoneticPr fontId="2" type="noConversion"/>
  </si>
  <si>
    <t xml:space="preserve">    電腦硬、軟體租金及使用費</t>
    <phoneticPr fontId="2" type="noConversion"/>
  </si>
  <si>
    <t xml:space="preserve">  雜項業務成本</t>
    <phoneticPr fontId="2" type="noConversion"/>
  </si>
  <si>
    <t xml:space="preserve">    租金與利息</t>
    <phoneticPr fontId="2" type="noConversion"/>
  </si>
  <si>
    <r>
      <t xml:space="preserve">      </t>
    </r>
    <r>
      <rPr>
        <sz val="11"/>
        <color indexed="8"/>
        <rFont val="標楷體"/>
        <family val="4"/>
        <charset val="136"/>
      </rPr>
      <t xml:space="preserve"> 辦公（事務）用品</t>
    </r>
    <phoneticPr fontId="2" type="noConversion"/>
  </si>
  <si>
    <r>
      <t xml:space="preserve">        </t>
    </r>
    <r>
      <rPr>
        <sz val="11"/>
        <color indexed="8"/>
        <rFont val="標楷體"/>
        <family val="4"/>
        <charset val="136"/>
      </rPr>
      <t>報章什誌</t>
    </r>
    <phoneticPr fontId="2" type="noConversion"/>
  </si>
  <si>
    <t xml:space="preserve">    醫療用品（非醫療院所使用）</t>
    <phoneticPr fontId="2" type="noConversion"/>
  </si>
  <si>
    <t xml:space="preserve">      印刷裝訂與廣告費</t>
    <phoneticPr fontId="2" type="noConversion"/>
  </si>
  <si>
    <t>　印刷裝訂與廣告費</t>
    <phoneticPr fontId="2" type="noConversion"/>
  </si>
  <si>
    <t xml:space="preserve">    代理（辦）費</t>
    <phoneticPr fontId="2" type="noConversion"/>
  </si>
  <si>
    <t xml:space="preserve">    辦公（事務）用品</t>
    <phoneticPr fontId="2" type="noConversion"/>
  </si>
  <si>
    <t xml:space="preserve">    報章什誌</t>
    <phoneticPr fontId="2" type="noConversion"/>
  </si>
  <si>
    <t>負　　債</t>
    <phoneticPr fontId="2" type="noConversion"/>
  </si>
  <si>
    <t>預計平衡表</t>
    <phoneticPr fontId="2" type="noConversion"/>
  </si>
  <si>
    <t>考選業務基金</t>
    <phoneticPr fontId="2" type="noConversion"/>
  </si>
  <si>
    <t>考選部</t>
    <phoneticPr fontId="2" type="noConversion"/>
  </si>
  <si>
    <t>　機械及設備</t>
    <phoneticPr fontId="5" type="noConversion"/>
  </si>
  <si>
    <t>　　機械及設備</t>
    <phoneticPr fontId="5" type="noConversion"/>
  </si>
  <si>
    <t xml:space="preserve">    減:累計折舊-什項設備</t>
    <phoneticPr fontId="2" type="noConversion"/>
  </si>
  <si>
    <r>
      <t>1.</t>
    </r>
    <r>
      <rPr>
        <sz val="12"/>
        <rFont val="新細明體"/>
        <family val="1"/>
        <charset val="136"/>
      </rPr>
      <t>本表項目欄依附表</t>
    </r>
    <r>
      <rPr>
        <sz val="12"/>
        <rFont val="Times New Roman"/>
        <family val="1"/>
      </rPr>
      <t>11</t>
    </r>
    <r>
      <rPr>
        <sz val="12"/>
        <rFont val="新細明體"/>
        <family val="1"/>
        <charset val="136"/>
      </rPr>
      <t xml:space="preserve">填列，惟繼續性之專案計畫本年度未編列預算者，均應列入本表表達。
</t>
    </r>
    <r>
      <rPr>
        <sz val="12"/>
        <rFont val="Times New Roman"/>
        <family val="1"/>
      </rPr>
      <t>2.</t>
    </r>
    <r>
      <rPr>
        <sz val="12"/>
        <rFont val="新細明體"/>
        <family val="1"/>
        <charset val="136"/>
      </rPr>
      <t xml:space="preserve">一般建築及設備計畫之目標能量、資金成本率、現值報酬率及收回年限等欄位得免填列。
</t>
    </r>
    <r>
      <rPr>
        <sz val="12"/>
        <rFont val="Times New Roman"/>
        <family val="1"/>
      </rPr>
      <t>3.</t>
    </r>
    <r>
      <rPr>
        <sz val="12"/>
        <rFont val="新細明體"/>
        <family val="1"/>
        <charset val="136"/>
      </rPr>
      <t xml:space="preserve">一般建築及設備計畫之分年性項目，如項目多者，請於預算書末，以附錄方式表達，並分別表達投資總額及各年度分配額，分年性項目不多者，可逕於本表下方說明。
</t>
    </r>
    <r>
      <rPr>
        <sz val="12"/>
        <rFont val="Times New Roman"/>
        <family val="1"/>
      </rPr>
      <t>4.</t>
    </r>
    <r>
      <rPr>
        <sz val="12"/>
        <rFont val="新細明體"/>
        <family val="1"/>
        <charset val="136"/>
      </rPr>
      <t>專案計畫及一般建築及設備計畫之分年性項目，投資總額及截至本年度累計數，如有包含以前年度於一般建築及設備計畫項下支應綜合規劃設計費者，應於本表下方說明。　</t>
    </r>
    <phoneticPr fontId="14" type="noConversion"/>
  </si>
  <si>
    <t>費用</t>
    <phoneticPr fontId="3" type="noConversion"/>
  </si>
  <si>
    <t>費用合計</t>
    <phoneticPr fontId="3" type="noConversion"/>
  </si>
  <si>
    <t>　業務收入</t>
    <phoneticPr fontId="3" type="noConversion"/>
  </si>
  <si>
    <t>　業務外收入</t>
    <phoneticPr fontId="3" type="noConversion"/>
  </si>
  <si>
    <t>　業務成本與費用</t>
    <phoneticPr fontId="3" type="noConversion"/>
  </si>
  <si>
    <t>　業務外費用</t>
    <phoneticPr fontId="3" type="noConversion"/>
  </si>
  <si>
    <t>本期賸餘</t>
    <phoneticPr fontId="3" type="noConversion"/>
  </si>
  <si>
    <t>合      計</t>
    <phoneticPr fontId="2" type="noConversion"/>
  </si>
  <si>
    <t>單位：新臺幣千元</t>
    <phoneticPr fontId="2" type="noConversion"/>
  </si>
  <si>
    <t>單位:新臺幣千元</t>
    <phoneticPr fontId="2" type="noConversion"/>
  </si>
  <si>
    <t>單位:新臺幣千元</t>
    <phoneticPr fontId="2" type="noConversion"/>
  </si>
  <si>
    <r>
      <t xml:space="preserve">        </t>
    </r>
    <r>
      <rPr>
        <sz val="12"/>
        <color indexed="8"/>
        <rFont val="標楷體"/>
        <family val="4"/>
        <charset val="136"/>
      </rPr>
      <t>單位:新臺幣千元</t>
    </r>
    <phoneticPr fontId="2" type="noConversion"/>
  </si>
  <si>
    <t>單位:新臺幣千元</t>
    <phoneticPr fontId="14" type="noConversion"/>
  </si>
  <si>
    <t xml:space="preserve">單位:新臺幣千元 </t>
    <phoneticPr fontId="2" type="noConversion"/>
  </si>
  <si>
    <t>單位:新臺幣千元</t>
    <phoneticPr fontId="2" type="noConversion"/>
  </si>
  <si>
    <t>單位:新臺幣千元</t>
    <phoneticPr fontId="2" type="noConversion"/>
  </si>
  <si>
    <t xml:space="preserve">單位:新臺幣千元 </t>
    <phoneticPr fontId="2" type="noConversion"/>
  </si>
  <si>
    <t xml:space="preserve">    公告費</t>
    <phoneticPr fontId="2" type="noConversion"/>
  </si>
  <si>
    <t xml:space="preserve">   1.預計平衡表．．．．．．．．．．．．．．．．．．．．．．．．．．．．．．．．．．．．．</t>
    <phoneticPr fontId="2" type="noConversion"/>
  </si>
  <si>
    <t xml:space="preserve">   1.立法院審議中央政府總預算案附屬單位預算所提決議及附帶決議</t>
    <phoneticPr fontId="2" type="noConversion"/>
  </si>
  <si>
    <t>固定資產明細表</t>
    <phoneticPr fontId="14" type="noConversion"/>
  </si>
  <si>
    <t>單位：新臺幣千元</t>
    <phoneticPr fontId="3" type="noConversion"/>
  </si>
  <si>
    <t xml:space="preserve">  項目         年度</t>
    <phoneticPr fontId="14" type="noConversion"/>
  </si>
  <si>
    <t xml:space="preserve"> 項目           年度</t>
    <phoneticPr fontId="14" type="noConversion"/>
  </si>
  <si>
    <t xml:space="preserve">  消費與行為稅</t>
    <phoneticPr fontId="2" type="noConversion"/>
  </si>
  <si>
    <t>　　食品</t>
    <phoneticPr fontId="2" type="noConversion"/>
  </si>
  <si>
    <t>　土地稅</t>
    <phoneticPr fontId="2" type="noConversion"/>
  </si>
  <si>
    <t>　　一般土地地價稅</t>
    <phoneticPr fontId="2" type="noConversion"/>
  </si>
  <si>
    <t>短絀、賠償與保險給付</t>
    <phoneticPr fontId="2" type="noConversion"/>
  </si>
  <si>
    <t>　賠償給付</t>
    <phoneticPr fontId="2" type="noConversion"/>
  </si>
  <si>
    <t>　　一般賠償</t>
    <phoneticPr fontId="2" type="noConversion"/>
  </si>
  <si>
    <t>　其他費用</t>
    <phoneticPr fontId="2" type="noConversion"/>
  </si>
  <si>
    <t>　　其他</t>
    <phoneticPr fontId="2" type="noConversion"/>
  </si>
  <si>
    <t xml:space="preserve">      土地稅</t>
    <phoneticPr fontId="2" type="noConversion"/>
  </si>
  <si>
    <t xml:space="preserve">    短絀、賠償與保險給付</t>
    <phoneticPr fontId="2" type="noConversion"/>
  </si>
  <si>
    <t xml:space="preserve">      賠償給付</t>
    <phoneticPr fontId="2" type="noConversion"/>
  </si>
  <si>
    <t xml:space="preserve">      其他費用</t>
    <phoneticPr fontId="2" type="noConversion"/>
  </si>
  <si>
    <t>　交通及運輸設備</t>
    <phoneticPr fontId="2" type="noConversion"/>
  </si>
  <si>
    <t>　  交通及運輸設備</t>
    <phoneticPr fontId="5" type="noConversion"/>
  </si>
  <si>
    <t>　什項設備</t>
    <phoneticPr fontId="2" type="noConversion"/>
  </si>
  <si>
    <t>　　什項設備</t>
    <phoneticPr fontId="2" type="noConversion"/>
  </si>
  <si>
    <t>減:累計折舊-交通及運
　　輸設備</t>
    <phoneticPr fontId="5" type="noConversion"/>
  </si>
  <si>
    <t>　　減:累計折舊-機械及設
　　 　 備</t>
    <phoneticPr fontId="5" type="noConversion"/>
  </si>
  <si>
    <t>　　減:累計折舊-交通及運
　　    輸設備</t>
    <phoneticPr fontId="5" type="noConversion"/>
  </si>
  <si>
    <t>基金</t>
    <phoneticPr fontId="2" type="noConversion"/>
  </si>
  <si>
    <t xml:space="preserve">    法律事務費</t>
    <phoneticPr fontId="2" type="noConversion"/>
  </si>
  <si>
    <t xml:space="preserve">    其他</t>
    <phoneticPr fontId="2" type="noConversion"/>
  </si>
  <si>
    <t xml:space="preserve">    印花稅</t>
    <phoneticPr fontId="2" type="noConversion"/>
  </si>
  <si>
    <t xml:space="preserve">    一般賠償</t>
    <phoneticPr fontId="2" type="noConversion"/>
  </si>
  <si>
    <t>短絀、賠償與保險給付</t>
    <phoneticPr fontId="2" type="noConversion"/>
  </si>
  <si>
    <t>短絀、賠償與保險給付</t>
    <phoneticPr fontId="2" type="noConversion"/>
  </si>
  <si>
    <t xml:space="preserve">  賠償給付</t>
    <phoneticPr fontId="2" type="noConversion"/>
  </si>
  <si>
    <t xml:space="preserve">  土地稅</t>
    <phoneticPr fontId="2" type="noConversion"/>
  </si>
  <si>
    <r>
      <t>主</t>
    </r>
    <r>
      <rPr>
        <sz val="24"/>
        <rFont val="Times New Roman"/>
        <family val="1"/>
      </rPr>
      <t xml:space="preserve">  </t>
    </r>
    <r>
      <rPr>
        <sz val="24"/>
        <rFont val="標楷體"/>
        <family val="4"/>
        <charset val="136"/>
      </rPr>
      <t>辦</t>
    </r>
    <r>
      <rPr>
        <sz val="24"/>
        <rFont val="Times New Roman"/>
        <family val="1"/>
      </rPr>
      <t xml:space="preserve">  </t>
    </r>
    <r>
      <rPr>
        <sz val="24"/>
        <rFont val="標楷體"/>
        <family val="4"/>
        <charset val="136"/>
      </rPr>
      <t>會</t>
    </r>
    <r>
      <rPr>
        <sz val="24"/>
        <rFont val="Times New Roman"/>
        <family val="1"/>
      </rPr>
      <t xml:space="preserve">  </t>
    </r>
    <r>
      <rPr>
        <sz val="24"/>
        <rFont val="標楷體"/>
        <family val="4"/>
        <charset val="136"/>
      </rPr>
      <t>計</t>
    </r>
    <r>
      <rPr>
        <sz val="24"/>
        <rFont val="Times New Roman"/>
        <family val="1"/>
      </rPr>
      <t xml:space="preserve">  </t>
    </r>
    <r>
      <rPr>
        <sz val="24"/>
        <rFont val="標楷體"/>
        <family val="4"/>
        <charset val="136"/>
      </rPr>
      <t>人</t>
    </r>
    <r>
      <rPr>
        <sz val="24"/>
        <rFont val="Times New Roman"/>
        <family val="1"/>
      </rPr>
      <t xml:space="preserve">  </t>
    </r>
    <r>
      <rPr>
        <sz val="24"/>
        <rFont val="標楷體"/>
        <family val="4"/>
        <charset val="136"/>
      </rPr>
      <t>員：蘇錦源</t>
    </r>
    <phoneticPr fontId="2" type="noConversion"/>
  </si>
  <si>
    <r>
      <t>基</t>
    </r>
    <r>
      <rPr>
        <sz val="24"/>
        <rFont val="Times New Roman"/>
        <family val="1"/>
      </rPr>
      <t xml:space="preserve">   </t>
    </r>
    <r>
      <rPr>
        <sz val="24"/>
        <rFont val="標楷體"/>
        <family val="4"/>
        <charset val="136"/>
      </rPr>
      <t>金</t>
    </r>
    <r>
      <rPr>
        <sz val="24"/>
        <rFont val="Times New Roman"/>
        <family val="1"/>
      </rPr>
      <t xml:space="preserve">   </t>
    </r>
    <r>
      <rPr>
        <sz val="24"/>
        <rFont val="標楷體"/>
        <family val="4"/>
        <charset val="136"/>
      </rPr>
      <t>主</t>
    </r>
    <r>
      <rPr>
        <sz val="24"/>
        <rFont val="Times New Roman"/>
        <family val="1"/>
      </rPr>
      <t xml:space="preserve">   </t>
    </r>
    <r>
      <rPr>
        <sz val="24"/>
        <rFont val="標楷體"/>
        <family val="4"/>
        <charset val="136"/>
      </rPr>
      <t>持</t>
    </r>
    <r>
      <rPr>
        <sz val="24"/>
        <rFont val="Times New Roman"/>
        <family val="1"/>
      </rPr>
      <t xml:space="preserve">   </t>
    </r>
    <r>
      <rPr>
        <sz val="24"/>
        <rFont val="標楷體"/>
        <family val="4"/>
        <charset val="136"/>
      </rPr>
      <t>人</t>
    </r>
    <r>
      <rPr>
        <sz val="24"/>
        <rFont val="Times New Roman"/>
        <family val="1"/>
      </rPr>
      <t xml:space="preserve"> </t>
    </r>
    <r>
      <rPr>
        <sz val="24"/>
        <rFont val="標楷體"/>
        <family val="4"/>
        <charset val="136"/>
      </rPr>
      <t>：</t>
    </r>
    <r>
      <rPr>
        <sz val="24"/>
        <rFont val="Times New Roman"/>
        <family val="1"/>
      </rPr>
      <t xml:space="preserve"> </t>
    </r>
    <r>
      <rPr>
        <sz val="24"/>
        <rFont val="標楷體"/>
        <family val="4"/>
        <charset val="136"/>
      </rPr>
      <t>董保城</t>
    </r>
    <phoneticPr fontId="2" type="noConversion"/>
  </si>
  <si>
    <t>102收入：796,446</t>
    <phoneticPr fontId="2" type="noConversion"/>
  </si>
  <si>
    <t>100決收入：722,237</t>
    <phoneticPr fontId="2" type="noConversion"/>
  </si>
  <si>
    <t>中央監控中心線路租金+100.新增網路報名分站資訊安全監控維運、機房代管暨ISMS認證1200</t>
    <phoneticPr fontId="2" type="noConversion"/>
  </si>
  <si>
    <t xml:space="preserve">    委託調查研究費</t>
    <phoneticPr fontId="2" type="noConversion"/>
  </si>
  <si>
    <t>業務成本與費用</t>
    <phoneticPr fontId="2" type="noConversion"/>
  </si>
  <si>
    <t>機械
及設備</t>
    <phoneticPr fontId="14" type="noConversion"/>
  </si>
  <si>
    <r>
      <t>土地
改良</t>
    </r>
    <r>
      <rPr>
        <sz val="12"/>
        <rFont val="標楷體"/>
        <family val="4"/>
        <charset val="136"/>
      </rPr>
      <t>物</t>
    </r>
    <phoneticPr fontId="14" type="noConversion"/>
  </si>
  <si>
    <r>
      <t>房屋
及建</t>
    </r>
    <r>
      <rPr>
        <sz val="12"/>
        <rFont val="標楷體"/>
        <family val="4"/>
        <charset val="136"/>
      </rPr>
      <t>築</t>
    </r>
    <phoneticPr fontId="14" type="noConversion"/>
  </si>
  <si>
    <t xml:space="preserve">  辦理各項考試業務</t>
    <phoneticPr fontId="8" type="noConversion"/>
  </si>
  <si>
    <t xml:space="preserve">  辦理各項考試業務</t>
    <phoneticPr fontId="8" type="noConversion"/>
  </si>
  <si>
    <t xml:space="preserve">    佣金、匯費、經理費及手續費</t>
    <phoneticPr fontId="2" type="noConversion"/>
  </si>
  <si>
    <t xml:space="preserve">    講課鐘點、稿費、出席審查及查詢費</t>
    <phoneticPr fontId="2" type="noConversion"/>
  </si>
  <si>
    <t xml:space="preserve">    委託檢驗（定）試驗認證費</t>
    <phoneticPr fontId="2" type="noConversion"/>
  </si>
  <si>
    <t xml:space="preserve">    醫療用品（非醫療院所使用）</t>
    <phoneticPr fontId="2" type="noConversion"/>
  </si>
  <si>
    <t>上年度
預算數</t>
    <phoneticPr fontId="2" type="noConversion"/>
  </si>
  <si>
    <t>國庫撥款</t>
    <phoneticPr fontId="14" type="noConversion"/>
  </si>
  <si>
    <t>34-35</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</si>
  <si>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</si>
  <si>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 xml:space="preserve">   2.餘絀撥補預計表．．．．．．．．．．．．．．．．．．．．．．</t>
    <phoneticPr fontId="2" type="noConversion"/>
  </si>
  <si>
    <t xml:space="preserve">   3.現金流量預計表．．．．．．．．．．．．．．．．．．．．．．</t>
    <phoneticPr fontId="2" type="noConversion"/>
  </si>
  <si>
    <t>業務外賸餘（短絀-）</t>
    <phoneticPr fontId="2" type="noConversion"/>
  </si>
  <si>
    <r>
      <t>業務賸餘（短絀</t>
    </r>
    <r>
      <rPr>
        <b/>
        <sz val="12"/>
        <rFont val="Times New Roman"/>
        <family val="1"/>
      </rPr>
      <t>-</t>
    </r>
    <r>
      <rPr>
        <b/>
        <sz val="12"/>
        <rFont val="標楷體"/>
        <family val="4"/>
        <charset val="136"/>
      </rPr>
      <t>）</t>
    </r>
    <phoneticPr fontId="2" type="noConversion"/>
  </si>
  <si>
    <t>本期賸餘（短絀-）</t>
    <phoneticPr fontId="2" type="noConversion"/>
  </si>
  <si>
    <t>稅捐與規費(強制費)</t>
    <phoneticPr fontId="2" type="noConversion"/>
  </si>
  <si>
    <t xml:space="preserve">  捐助、補助與獎助</t>
    <phoneticPr fontId="2" type="noConversion"/>
  </si>
  <si>
    <t>會費、捐助、補助、分攤、救助(濟)與交流活動費</t>
    <phoneticPr fontId="2" type="noConversion"/>
  </si>
  <si>
    <t>會費、捐助、補助、分攤、救助(濟)與交流活動費</t>
    <phoneticPr fontId="2" type="noConversion"/>
  </si>
  <si>
    <t xml:space="preserve">  捐助、補助與獎助</t>
    <phoneticPr fontId="2" type="noConversion"/>
  </si>
  <si>
    <t>投資活動之現金流量</t>
    <phoneticPr fontId="2" type="noConversion"/>
  </si>
  <si>
    <t>融資活動之現金流量</t>
    <phoneticPr fontId="2" type="noConversion"/>
  </si>
  <si>
    <t xml:space="preserve">    投資活動之淨現金流入(流出-)</t>
    <phoneticPr fontId="2" type="noConversion"/>
  </si>
  <si>
    <t xml:space="preserve">    融資活動之淨現金流入(流出-)</t>
    <phoneticPr fontId="2" type="noConversion"/>
  </si>
  <si>
    <t xml:space="preserve"> 會費、捐助、補助、
 分攤、救助(濟)與交
 流活動費</t>
    <phoneticPr fontId="2" type="noConversion"/>
  </si>
  <si>
    <t>辦理公務人員考試、專門職業及技術人員考試等考試計畫。</t>
    <phoneticPr fontId="8" type="noConversion"/>
  </si>
  <si>
    <t>資訊處</t>
    <phoneticPr fontId="14" type="noConversion"/>
  </si>
  <si>
    <t>總務司</t>
    <phoneticPr fontId="14" type="noConversion"/>
  </si>
  <si>
    <t>單位</t>
    <phoneticPr fontId="14" type="noConversion"/>
  </si>
  <si>
    <t>交通及運輸設備</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</si>
  <si>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</si>
  <si>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</si>
  <si>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最近5年賸餘分配（圖5）</t>
    <phoneticPr fontId="3" type="noConversion"/>
  </si>
  <si>
    <t>最近5年收入與費用（圖3）</t>
    <phoneticPr fontId="3" type="noConversion"/>
  </si>
  <si>
    <t>考選部</t>
    <phoneticPr fontId="8" type="noConversion"/>
  </si>
  <si>
    <t>考選業務基金</t>
    <phoneticPr fontId="8" type="noConversion"/>
  </si>
  <si>
    <t>員工人數彙計表</t>
    <phoneticPr fontId="2" type="noConversion"/>
  </si>
  <si>
    <t>單位:人</t>
    <phoneticPr fontId="2" type="noConversion"/>
  </si>
  <si>
    <t>科　　目</t>
    <phoneticPr fontId="14" type="noConversion"/>
  </si>
  <si>
    <t>上年度最高
可進用員額數</t>
    <phoneticPr fontId="14" type="noConversion"/>
  </si>
  <si>
    <t>本年度增減(-)數</t>
    <phoneticPr fontId="14" type="noConversion"/>
  </si>
  <si>
    <t>本年度最高
可進用員額數</t>
    <phoneticPr fontId="14" type="noConversion"/>
  </si>
  <si>
    <t>說　　明</t>
    <phoneticPr fontId="14" type="noConversion"/>
  </si>
  <si>
    <t>考選</t>
    <phoneticPr fontId="8" type="noConversion"/>
  </si>
  <si>
    <t>部</t>
    <phoneticPr fontId="8" type="noConversion"/>
  </si>
  <si>
    <t>考選業</t>
    <phoneticPr fontId="8" type="noConversion"/>
  </si>
  <si>
    <t>務基金</t>
    <phoneticPr fontId="8" type="noConversion"/>
  </si>
  <si>
    <t>用人費用</t>
    <phoneticPr fontId="2" type="noConversion"/>
  </si>
  <si>
    <t>彙計表</t>
    <phoneticPr fontId="2" type="noConversion"/>
  </si>
  <si>
    <t>中華民國</t>
    <phoneticPr fontId="8" type="noConversion"/>
  </si>
  <si>
    <t>單位:新臺幣千元</t>
    <phoneticPr fontId="2" type="noConversion"/>
  </si>
  <si>
    <t>科目</t>
    <phoneticPr fontId="14" type="noConversion"/>
  </si>
  <si>
    <t>正式員額薪資</t>
    <phoneticPr fontId="14" type="noConversion"/>
  </si>
  <si>
    <t>聘僱人員薪資</t>
    <phoneticPr fontId="14" type="noConversion"/>
  </si>
  <si>
    <t>超時工作報酬</t>
    <phoneticPr fontId="14" type="noConversion"/>
  </si>
  <si>
    <t>津貼</t>
    <phoneticPr fontId="14" type="noConversion"/>
  </si>
  <si>
    <t>獎　　金</t>
    <phoneticPr fontId="14" type="noConversion"/>
  </si>
  <si>
    <t>退休及卹償金</t>
    <phoneticPr fontId="14" type="noConversion"/>
  </si>
  <si>
    <t>資遣費</t>
    <phoneticPr fontId="14" type="noConversion"/>
  </si>
  <si>
    <t>福　利　費</t>
    <phoneticPr fontId="14" type="noConversion"/>
  </si>
  <si>
    <t>提繳費</t>
    <phoneticPr fontId="14" type="noConversion"/>
  </si>
  <si>
    <t>合計</t>
    <phoneticPr fontId="14" type="noConversion"/>
  </si>
  <si>
    <t>兼任人員用人費用</t>
    <phoneticPr fontId="14" type="noConversion"/>
  </si>
  <si>
    <t>總計</t>
    <phoneticPr fontId="14" type="noConversion"/>
  </si>
  <si>
    <t>年終
獎金</t>
    <phoneticPr fontId="14" type="noConversion"/>
  </si>
  <si>
    <t>考績
獎金</t>
    <phoneticPr fontId="14" type="noConversion"/>
  </si>
  <si>
    <t>績效
獎金</t>
    <phoneticPr fontId="14" type="noConversion"/>
  </si>
  <si>
    <t>其他</t>
    <phoneticPr fontId="14" type="noConversion"/>
  </si>
  <si>
    <t>退休金</t>
    <phoneticPr fontId="14" type="noConversion"/>
  </si>
  <si>
    <t>卹償金</t>
    <phoneticPr fontId="14" type="noConversion"/>
  </si>
  <si>
    <t>分擔保險費</t>
    <phoneticPr fontId="14" type="noConversion"/>
  </si>
  <si>
    <t>偒病醫藥費</t>
    <phoneticPr fontId="14" type="noConversion"/>
  </si>
  <si>
    <t>提撥福利金</t>
    <phoneticPr fontId="14" type="noConversion"/>
  </si>
  <si>
    <t xml:space="preserve">   4.用人費用彙計表．．．．．．．．．．．．．．．．．．．．．．</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</si>
  <si>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</si>
  <si>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考選部</t>
    <phoneticPr fontId="8" type="noConversion"/>
  </si>
  <si>
    <t>考選業務基金</t>
    <phoneticPr fontId="8" type="noConversion"/>
  </si>
  <si>
    <t>員工人數彙計表</t>
    <phoneticPr fontId="2" type="noConversion"/>
  </si>
  <si>
    <t>單位:人</t>
    <phoneticPr fontId="2" type="noConversion"/>
  </si>
  <si>
    <t>科　　目</t>
    <phoneticPr fontId="14" type="noConversion"/>
  </si>
  <si>
    <t>上年度最高
可進用員額數</t>
    <phoneticPr fontId="14" type="noConversion"/>
  </si>
  <si>
    <t>本年度增減(-)數</t>
    <phoneticPr fontId="14" type="noConversion"/>
  </si>
  <si>
    <t>本年度最高
可進用員額數</t>
    <phoneticPr fontId="14" type="noConversion"/>
  </si>
  <si>
    <t>說　　明</t>
    <phoneticPr fontId="14" type="noConversion"/>
  </si>
  <si>
    <t>備註：本基金以服務費用支付編制外之進用人力，其內容如下：</t>
    <phoneticPr fontId="14" type="noConversion"/>
  </si>
  <si>
    <t>　　　1.辦理各項考試業務按試務期程所需彈性進退之按日計時臨時人員，預計進用90天以內</t>
    <phoneticPr fontId="14" type="noConversion"/>
  </si>
  <si>
    <t>考選</t>
    <phoneticPr fontId="8" type="noConversion"/>
  </si>
  <si>
    <t>部</t>
    <phoneticPr fontId="8" type="noConversion"/>
  </si>
  <si>
    <t>考選業</t>
    <phoneticPr fontId="8" type="noConversion"/>
  </si>
  <si>
    <t>務基金</t>
    <phoneticPr fontId="8" type="noConversion"/>
  </si>
  <si>
    <t>用人費用</t>
    <phoneticPr fontId="2" type="noConversion"/>
  </si>
  <si>
    <t>彙計表</t>
    <phoneticPr fontId="2" type="noConversion"/>
  </si>
  <si>
    <t>中華民國</t>
    <phoneticPr fontId="8" type="noConversion"/>
  </si>
  <si>
    <t>單位:新臺幣千元</t>
    <phoneticPr fontId="2" type="noConversion"/>
  </si>
  <si>
    <t>科目</t>
    <phoneticPr fontId="14" type="noConversion"/>
  </si>
  <si>
    <t>正式員額薪資</t>
    <phoneticPr fontId="14" type="noConversion"/>
  </si>
  <si>
    <t>聘僱人員薪資</t>
    <phoneticPr fontId="14" type="noConversion"/>
  </si>
  <si>
    <t>超時工作報酬</t>
    <phoneticPr fontId="14" type="noConversion"/>
  </si>
  <si>
    <t>津貼</t>
    <phoneticPr fontId="14" type="noConversion"/>
  </si>
  <si>
    <t>獎　　金</t>
    <phoneticPr fontId="14" type="noConversion"/>
  </si>
  <si>
    <t>退休及卹償金</t>
    <phoneticPr fontId="14" type="noConversion"/>
  </si>
  <si>
    <t>資遣費</t>
    <phoneticPr fontId="14" type="noConversion"/>
  </si>
  <si>
    <t>福　利　費</t>
    <phoneticPr fontId="14" type="noConversion"/>
  </si>
  <si>
    <t>提繳費</t>
    <phoneticPr fontId="14" type="noConversion"/>
  </si>
  <si>
    <t>合計</t>
    <phoneticPr fontId="14" type="noConversion"/>
  </si>
  <si>
    <t>兼任人員用人費用</t>
    <phoneticPr fontId="14" type="noConversion"/>
  </si>
  <si>
    <t>總計</t>
    <phoneticPr fontId="14" type="noConversion"/>
  </si>
  <si>
    <t>年終
獎金</t>
    <phoneticPr fontId="14" type="noConversion"/>
  </si>
  <si>
    <t>考績
獎金</t>
    <phoneticPr fontId="14" type="noConversion"/>
  </si>
  <si>
    <t>績效
獎金</t>
    <phoneticPr fontId="14" type="noConversion"/>
  </si>
  <si>
    <t>其他</t>
    <phoneticPr fontId="14" type="noConversion"/>
  </si>
  <si>
    <t>退休金</t>
    <phoneticPr fontId="14" type="noConversion"/>
  </si>
  <si>
    <t>卹償金</t>
    <phoneticPr fontId="14" type="noConversion"/>
  </si>
  <si>
    <t>分擔保險費</t>
    <phoneticPr fontId="14" type="noConversion"/>
  </si>
  <si>
    <t>偒病醫藥費</t>
    <phoneticPr fontId="14" type="noConversion"/>
  </si>
  <si>
    <t>提撥福利金</t>
    <phoneticPr fontId="14" type="noConversion"/>
  </si>
  <si>
    <t>備註：本基金以服務費用支付編制外之進用人力，其內容如下：</t>
    <phoneticPr fontId="14" type="noConversion"/>
  </si>
  <si>
    <t>　　　　定期契約臨時人員420人、90-180天定期契約臨時人員100人及不定期契約臨時人員</t>
    <phoneticPr fontId="14" type="noConversion"/>
  </si>
  <si>
    <t xml:space="preserve"> 中華民國 104 年度</t>
    <phoneticPr fontId="14" type="noConversion"/>
  </si>
  <si>
    <t>台</t>
    <phoneticPr fontId="14" type="noConversion"/>
  </si>
  <si>
    <t>辦理公務人員考試、專門職業及技術人員考試等考試計畫。</t>
    <phoneticPr fontId="8" type="noConversion"/>
  </si>
  <si>
    <t>備註：本基金以服務費用支付編制外之進用人力，其內容如下：</t>
    <phoneticPr fontId="14" type="noConversion"/>
  </si>
  <si>
    <t xml:space="preserve">  減少短期債務、流動金融負債、其他負債及</t>
    <phoneticPr fontId="2" type="noConversion"/>
  </si>
  <si>
    <t>一般建築及設備</t>
    <phoneticPr fontId="14" type="noConversion"/>
  </si>
  <si>
    <t>計畫</t>
  </si>
  <si>
    <t>計畫</t>
    <phoneticPr fontId="14" type="noConversion"/>
  </si>
  <si>
    <t>　　　2.清潔外包部分之承攬人力8人。</t>
    <phoneticPr fontId="14" type="noConversion"/>
  </si>
  <si>
    <t>　　　2.清潔外包之勞務承攬3,500千元。</t>
    <phoneticPr fontId="14" type="noConversion"/>
  </si>
  <si>
    <t>中華民國 105 年度</t>
    <phoneticPr fontId="14" type="noConversion"/>
  </si>
  <si>
    <t>國家考場飲水機16台</t>
    <phoneticPr fontId="14" type="noConversion"/>
  </si>
  <si>
    <t>安檢門300</t>
    <phoneticPr fontId="14" type="noConversion"/>
  </si>
  <si>
    <t>彩色彩印機500</t>
    <phoneticPr fontId="14" type="noConversion"/>
  </si>
  <si>
    <t>新增</t>
    <phoneticPr fontId="14" type="noConversion"/>
  </si>
  <si>
    <t>延續</t>
    <phoneticPr fontId="14" type="noConversion"/>
  </si>
  <si>
    <t>中華民國 105 年度</t>
    <phoneticPr fontId="2" type="noConversion"/>
  </si>
  <si>
    <t xml:space="preserve">    電腦硬、軟體租金及使用費</t>
    <phoneticPr fontId="2" type="noConversion"/>
  </si>
  <si>
    <r>
      <t xml:space="preserve">        </t>
    </r>
    <r>
      <rPr>
        <sz val="12"/>
        <rFont val="標楷體"/>
        <family val="4"/>
        <charset val="136"/>
      </rPr>
      <t>雜項業務收入</t>
    </r>
    <phoneticPr fontId="2" type="noConversion"/>
  </si>
  <si>
    <t>其他業務外收入</t>
    <phoneticPr fontId="2" type="noConversion"/>
  </si>
  <si>
    <t>其他業務外收入明細表</t>
    <phoneticPr fontId="2" type="noConversion"/>
  </si>
  <si>
    <t xml:space="preserve">  雜項收入</t>
    <phoneticPr fontId="2" type="noConversion"/>
  </si>
  <si>
    <t>中華民國105</t>
    <phoneticPr fontId="2" type="noConversion"/>
  </si>
  <si>
    <t>中華民國 105 年度</t>
    <phoneticPr fontId="8" type="noConversion"/>
  </si>
  <si>
    <t>103年12月31日
實  際  數</t>
    <phoneticPr fontId="2" type="noConversion"/>
  </si>
  <si>
    <t>公積</t>
    <phoneticPr fontId="2" type="noConversion"/>
  </si>
  <si>
    <t xml:space="preserve">  資本公積</t>
    <phoneticPr fontId="2" type="noConversion"/>
  </si>
  <si>
    <t xml:space="preserve">    受贈公積</t>
    <phoneticPr fontId="2" type="noConversion"/>
  </si>
  <si>
    <t>合計</t>
    <phoneticPr fontId="2" type="noConversion"/>
  </si>
  <si>
    <t>勞務成本</t>
    <phoneticPr fontId="2" type="noConversion"/>
  </si>
  <si>
    <t>其他業務外費用</t>
    <phoneticPr fontId="2" type="noConversion"/>
  </si>
  <si>
    <t xml:space="preserve">    工程及管理諮詢服務費</t>
    <phoneticPr fontId="2" type="noConversion"/>
  </si>
  <si>
    <t xml:space="preserve">    貨物稅</t>
    <phoneticPr fontId="2" type="noConversion"/>
  </si>
  <si>
    <t xml:space="preserve">    行政規費與強制費</t>
    <phoneticPr fontId="2" type="noConversion"/>
  </si>
  <si>
    <t>105年12月31日
預  計  數</t>
    <phoneticPr fontId="2" type="noConversion"/>
  </si>
  <si>
    <t>104年12月31日
預  計  數</t>
    <phoneticPr fontId="2" type="noConversion"/>
  </si>
  <si>
    <t>103年12月31日
實  際  數</t>
    <phoneticPr fontId="2" type="noConversion"/>
  </si>
  <si>
    <t>人次</t>
    <phoneticPr fontId="8" type="noConversion"/>
  </si>
  <si>
    <t>本年度預算數</t>
    <phoneticPr fontId="2" type="noConversion"/>
  </si>
  <si>
    <t xml:space="preserve">  規費</t>
    <phoneticPr fontId="2" type="noConversion"/>
  </si>
  <si>
    <t xml:space="preserve">  規費</t>
    <phoneticPr fontId="2" type="noConversion"/>
  </si>
  <si>
    <t xml:space="preserve">  遞延貸項</t>
    <phoneticPr fontId="2" type="noConversion"/>
  </si>
  <si>
    <t xml:space="preserve">  增加短期債務、流動金融負債、其他負債及</t>
    <phoneticPr fontId="2" type="noConversion"/>
  </si>
  <si>
    <t>累積餘(+)絀(-)</t>
  </si>
  <si>
    <t>人次</t>
    <phoneticPr fontId="8" type="noConversion"/>
  </si>
  <si>
    <t>人次</t>
    <phoneticPr fontId="8" type="noConversion"/>
  </si>
  <si>
    <t>101年度決算數</t>
    <phoneticPr fontId="14" type="noConversion"/>
  </si>
  <si>
    <t>102年度決算數</t>
    <phoneticPr fontId="14" type="noConversion"/>
  </si>
  <si>
    <t>　　　　90人。</t>
    <phoneticPr fontId="14" type="noConversion"/>
  </si>
  <si>
    <t>中華民國 105 年度</t>
    <phoneticPr fontId="8" type="noConversion"/>
  </si>
  <si>
    <t>105 年度</t>
    <phoneticPr fontId="8" type="noConversion"/>
  </si>
  <si>
    <t>　　　1.辦理各項考試業務所需支付按日計時之臨時人員之工資67,230千元。</t>
    <phoneticPr fontId="14" type="noConversion"/>
  </si>
  <si>
    <t>　　　3.入闈及考試期間委託醫事人員服務之服務費99千元。</t>
    <phoneticPr fontId="14" type="noConversion"/>
  </si>
  <si>
    <t>其他業務收入明細表</t>
    <phoneticPr fontId="2" type="noConversion"/>
  </si>
  <si>
    <t>其他業務收入</t>
    <phoneticPr fontId="2" type="noConversion"/>
  </si>
  <si>
    <t xml:space="preserve">  雜項業務收入</t>
    <phoneticPr fontId="2" type="noConversion"/>
  </si>
  <si>
    <t>國家考試遠距線上閱卷建置1,750,000。</t>
    <phoneticPr fontId="14" type="noConversion"/>
  </si>
  <si>
    <t>試務資訊化及網路設備汰換4,500,000。</t>
    <phoneticPr fontId="14" type="noConversion"/>
  </si>
  <si>
    <t>試務場所電腦、筆電、印表機及闈場資訊設備零組件汰換650,000。</t>
    <phoneticPr fontId="14" type="noConversion"/>
  </si>
  <si>
    <t>題庫資訊系統主機汰換2,320,000。</t>
    <phoneticPr fontId="14" type="noConversion"/>
  </si>
  <si>
    <t>電腦化測驗電腦試場建置1,285,000。</t>
    <phoneticPr fontId="14" type="noConversion"/>
  </si>
  <si>
    <t>掃描機500</t>
    <phoneticPr fontId="14" type="noConversion"/>
  </si>
  <si>
    <r>
      <t xml:space="preserve">  </t>
    </r>
    <r>
      <rPr>
        <sz val="12"/>
        <color indexed="8"/>
        <rFont val="標楷體"/>
        <family val="4"/>
        <charset val="136"/>
      </rPr>
      <t xml:space="preserve"> 其他業務收入</t>
    </r>
    <phoneticPr fontId="14" type="noConversion"/>
  </si>
  <si>
    <r>
      <t xml:space="preserve">  </t>
    </r>
    <r>
      <rPr>
        <sz val="12"/>
        <color indexed="8"/>
        <rFont val="標楷體"/>
        <family val="4"/>
        <charset val="136"/>
      </rPr>
      <t xml:space="preserve"> 其他業務成本</t>
    </r>
    <phoneticPr fontId="14" type="noConversion"/>
  </si>
  <si>
    <r>
      <t xml:space="preserve">  </t>
    </r>
    <r>
      <rPr>
        <sz val="12"/>
        <color indexed="8"/>
        <rFont val="標楷體"/>
        <family val="4"/>
        <charset val="136"/>
      </rPr>
      <t xml:space="preserve"> 其他業務外收入</t>
    </r>
    <phoneticPr fontId="14" type="noConversion"/>
  </si>
  <si>
    <r>
      <t xml:space="preserve">  </t>
    </r>
    <r>
      <rPr>
        <sz val="12"/>
        <color indexed="8"/>
        <rFont val="標楷體"/>
        <family val="4"/>
        <charset val="136"/>
      </rPr>
      <t xml:space="preserve"> 其他業務外費用</t>
    </r>
    <phoneticPr fontId="14" type="noConversion"/>
  </si>
  <si>
    <t xml:space="preserve">   勞務收入</t>
    <phoneticPr fontId="14" type="noConversion"/>
  </si>
  <si>
    <t xml:space="preserve">   財務收入</t>
    <phoneticPr fontId="14" type="noConversion"/>
  </si>
  <si>
    <r>
      <t xml:space="preserve">    </t>
    </r>
    <r>
      <rPr>
        <sz val="12"/>
        <color indexed="8"/>
        <rFont val="標楷體"/>
        <family val="4"/>
        <charset val="136"/>
      </rPr>
      <t xml:space="preserve"> 其他業務收入</t>
    </r>
    <phoneticPr fontId="14" type="noConversion"/>
  </si>
  <si>
    <t xml:space="preserve">   其他業務外收入</t>
    <phoneticPr fontId="14" type="noConversion"/>
  </si>
  <si>
    <r>
      <t xml:space="preserve">       </t>
    </r>
    <r>
      <rPr>
        <sz val="12"/>
        <rFont val="標楷體"/>
        <family val="4"/>
        <charset val="136"/>
      </rPr>
      <t>考選業務補助收入</t>
    </r>
    <phoneticPr fontId="2" type="noConversion"/>
  </si>
  <si>
    <t>　　</t>
    <phoneticPr fontId="2" type="noConversion"/>
  </si>
  <si>
    <t xml:space="preserve">  </t>
    <phoneticPr fontId="2" type="noConversion"/>
  </si>
  <si>
    <t xml:space="preserve">  遞延貸項</t>
    <phoneticPr fontId="2" type="noConversion"/>
  </si>
  <si>
    <t>人次</t>
    <phoneticPr fontId="2" type="noConversion"/>
  </si>
  <si>
    <t>人次</t>
    <phoneticPr fontId="2" type="noConversion"/>
  </si>
  <si>
    <t xml:space="preserve"> 稅捐與規費(強制費)</t>
    <phoneticPr fontId="2" type="noConversion"/>
  </si>
  <si>
    <t xml:space="preserve">  規費</t>
    <phoneticPr fontId="2" type="noConversion"/>
  </si>
  <si>
    <t xml:space="preserve">    稅捐與規費(強制費)</t>
    <phoneticPr fontId="2" type="noConversion"/>
  </si>
  <si>
    <t>稅捐與規費(強制費)</t>
    <phoneticPr fontId="2" type="noConversion"/>
  </si>
  <si>
    <t xml:space="preserve">  (二)其他業務收入1,099千元：係預計各類考試應考人申請閱覽試卷及成績複查之收
      入。</t>
    <phoneticPr fontId="14" type="noConversion"/>
  </si>
  <si>
    <t>係應考人退費支票逾期1年未兌領款項及以前年</t>
    <phoneticPr fontId="2" type="noConversion"/>
  </si>
  <si>
    <t xml:space="preserve">    數據通信費</t>
    <phoneticPr fontId="2" type="noConversion"/>
  </si>
  <si>
    <t>第一試務大樓、第二試務大樓及國家考場機房調系統</t>
    <phoneticPr fontId="14" type="noConversion"/>
  </si>
  <si>
    <t>第一試務闈場裝訂機</t>
    <phoneticPr fontId="14" type="noConversion"/>
  </si>
  <si>
    <t>第三試務機房空調設備</t>
    <phoneticPr fontId="14" type="noConversion"/>
  </si>
  <si>
    <t>第一及第二試務影印複合機</t>
    <phoneticPr fontId="14" type="noConversion"/>
  </si>
  <si>
    <t>總務司</t>
    <phoneticPr fontId="14" type="noConversion"/>
  </si>
  <si>
    <t>第二試務大樓窗型冷氣汰換500</t>
    <phoneticPr fontId="14" type="noConversion"/>
  </si>
  <si>
    <t>台</t>
    <phoneticPr fontId="14" type="noConversion"/>
  </si>
  <si>
    <t>第二試務大樓變頻多聯室外機</t>
    <phoneticPr fontId="14" type="noConversion"/>
  </si>
  <si>
    <t>汰換</t>
    <phoneticPr fontId="14" type="noConversion"/>
  </si>
  <si>
    <t>第一試務闈場速印機</t>
    <phoneticPr fontId="14" type="noConversion"/>
  </si>
  <si>
    <t>第三試務電腦機房掌型機</t>
    <phoneticPr fontId="14" type="noConversion"/>
  </si>
  <si>
    <t>第三試務審題室投影機5台</t>
    <phoneticPr fontId="14" type="noConversion"/>
  </si>
  <si>
    <t>碎紙機2台</t>
    <phoneticPr fontId="14" type="noConversion"/>
  </si>
  <si>
    <t>　　　3.入闈及考試期間委託醫事人員服務24人次。</t>
    <phoneticPr fontId="14" type="noConversion"/>
  </si>
  <si>
    <t>辦理公務人員考試、專門職業及技術人員考試等考試計畫。</t>
    <phoneticPr fontId="8" type="noConversion"/>
  </si>
  <si>
    <t>增加電腦軟體。</t>
    <phoneticPr fontId="2" type="noConversion"/>
  </si>
  <si>
    <t>係各項考試申請複查成績及閱覽試卷之收入</t>
    <phoneticPr fontId="2" type="noConversion"/>
  </si>
  <si>
    <t>　　　1.辦理各項考試業務按試務期程所需彈性進退之按日計時臨時人員，預計進用90天以內</t>
    <phoneticPr fontId="14" type="noConversion"/>
  </si>
  <si>
    <t>100決不含折舊及攤銷成本：649,851</t>
    <phoneticPr fontId="2" type="noConversion"/>
  </si>
  <si>
    <t>101收入：720,932</t>
    <phoneticPr fontId="2" type="noConversion"/>
  </si>
  <si>
    <t>按101預算</t>
    <phoneticPr fontId="2" type="noConversion"/>
  </si>
  <si>
    <t>按100決算</t>
    <phoneticPr fontId="2" type="noConversion"/>
  </si>
  <si>
    <t>初編</t>
    <phoneticPr fontId="2" type="noConversion"/>
  </si>
  <si>
    <t xml:space="preserve">    郵費</t>
    <phoneticPr fontId="2" type="noConversion"/>
  </si>
  <si>
    <t xml:space="preserve">    數據通信費</t>
    <phoneticPr fontId="2" type="noConversion"/>
  </si>
  <si>
    <t xml:space="preserve">  旅運費</t>
    <phoneticPr fontId="2" type="noConversion"/>
  </si>
  <si>
    <t xml:space="preserve">    國內旅費</t>
    <phoneticPr fontId="2" type="noConversion"/>
  </si>
  <si>
    <r>
      <t xml:space="preserve">    </t>
    </r>
    <r>
      <rPr>
        <sz val="11"/>
        <rFont val="標楷體"/>
        <family val="4"/>
        <charset val="136"/>
      </rPr>
      <t>貨物運費</t>
    </r>
    <phoneticPr fontId="2" type="noConversion"/>
  </si>
  <si>
    <t xml:space="preserve">    其他旅運費</t>
    <phoneticPr fontId="2" type="noConversion"/>
  </si>
  <si>
    <t xml:space="preserve">  印刷裝訂與廣告費</t>
    <phoneticPr fontId="2" type="noConversion"/>
  </si>
  <si>
    <t xml:space="preserve">    印刷及裝訂費</t>
    <phoneticPr fontId="2" type="noConversion"/>
  </si>
  <si>
    <t xml:space="preserve">    公告費</t>
    <phoneticPr fontId="2" type="noConversion"/>
  </si>
  <si>
    <t xml:space="preserve">    業務宣導費</t>
    <phoneticPr fontId="2" type="noConversion"/>
  </si>
  <si>
    <t xml:space="preserve">  修理保養及保固費</t>
    <phoneticPr fontId="2" type="noConversion"/>
  </si>
  <si>
    <t xml:space="preserve">    一般房屋修護費</t>
    <phoneticPr fontId="2" type="noConversion"/>
  </si>
  <si>
    <t>國家考場大教室隔間230萬、1-4樓鋁百葉320萬、第二試務大樓屋頂防水200萬</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</si>
  <si>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</si>
  <si>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</si>
  <si>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1"/>
        <color indexed="8"/>
        <rFont val="標楷體"/>
        <family val="4"/>
        <charset val="136"/>
      </rPr>
      <t>什項設備修護費</t>
    </r>
    <phoneticPr fontId="2" type="noConversion"/>
  </si>
  <si>
    <t xml:space="preserve">  保險費</t>
    <phoneticPr fontId="2" type="noConversion"/>
  </si>
  <si>
    <t xml:space="preserve">    現金、存款及貨物保險費</t>
    <phoneticPr fontId="2" type="noConversion"/>
  </si>
  <si>
    <t xml:space="preserve">    責任保險費</t>
    <phoneticPr fontId="2" type="noConversion"/>
  </si>
  <si>
    <t xml:space="preserve">  一般服務費</t>
    <phoneticPr fontId="2" type="noConversion"/>
  </si>
  <si>
    <t xml:space="preserve">    佣金、匯費、經理費及手續費</t>
    <phoneticPr fontId="2" type="noConversion"/>
  </si>
  <si>
    <t xml:space="preserve">    代理（辦）費</t>
    <phoneticPr fontId="2" type="noConversion"/>
  </si>
  <si>
    <t xml:space="preserve">    外包費</t>
    <phoneticPr fontId="2" type="noConversion"/>
  </si>
  <si>
    <t>總務司5168774+834283  考試司8374954  資管預算12355000</t>
    <phoneticPr fontId="2" type="noConversion"/>
  </si>
  <si>
    <t>資管+101年7500+5650+保全1117</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</si>
  <si>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</si>
  <si>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</si>
  <si>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</si>
  <si>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法律事務費</t>
    <phoneticPr fontId="2" type="noConversion"/>
  </si>
  <si>
    <t xml:space="preserve">    工程及管理諮詢服務費</t>
    <phoneticPr fontId="2" type="noConversion"/>
  </si>
  <si>
    <t xml:space="preserve">    講課鐘點、稿費、出席審查及查詢費</t>
    <phoneticPr fontId="2" type="noConversion"/>
  </si>
  <si>
    <t>高普考3690、特考105、專技500</t>
    <phoneticPr fontId="2" type="noConversion"/>
  </si>
  <si>
    <t xml:space="preserve">    委託研究調查費</t>
    <phoneticPr fontId="2" type="noConversion"/>
  </si>
  <si>
    <t xml:space="preserve">    委託檢驗（定）試驗認證費</t>
    <phoneticPr fontId="2" type="noConversion"/>
  </si>
  <si>
    <r>
      <t xml:space="preserve">    </t>
    </r>
    <r>
      <rPr>
        <sz val="11"/>
        <color indexed="8"/>
        <rFont val="標楷體"/>
        <family val="4"/>
        <charset val="136"/>
      </rPr>
      <t>試務甄選費</t>
    </r>
    <phoneticPr fontId="2" type="noConversion"/>
  </si>
  <si>
    <t xml:space="preserve">    電子計算機軟體服務費</t>
    <phoneticPr fontId="2" type="noConversion"/>
  </si>
  <si>
    <t>公務人員及專技人員考試國際會議</t>
    <phoneticPr fontId="2" type="noConversion"/>
  </si>
  <si>
    <t xml:space="preserve">    其他</t>
    <phoneticPr fontId="2" type="noConversion"/>
  </si>
  <si>
    <t xml:space="preserve">  公共關係費</t>
    <phoneticPr fontId="2" type="noConversion"/>
  </si>
  <si>
    <t xml:space="preserve">    公共關係費</t>
    <phoneticPr fontId="2" type="noConversion"/>
  </si>
  <si>
    <t>材料及用品費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</si>
  <si>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</si>
  <si>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</si>
  <si>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</si>
  <si>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用品消耗</t>
    <phoneticPr fontId="2" type="noConversion"/>
  </si>
  <si>
    <r>
      <t xml:space="preserve">      </t>
    </r>
    <r>
      <rPr>
        <sz val="11"/>
        <color indexed="8"/>
        <rFont val="標楷體"/>
        <family val="4"/>
        <charset val="136"/>
      </rPr>
      <t xml:space="preserve"> 辦公（事務）用品</t>
    </r>
    <phoneticPr fontId="2" type="noConversion"/>
  </si>
  <si>
    <t xml:space="preserve">    報章什誌</t>
    <phoneticPr fontId="2" type="noConversion"/>
  </si>
  <si>
    <t xml:space="preserve">    食品</t>
    <phoneticPr fontId="2" type="noConversion"/>
  </si>
  <si>
    <t xml:space="preserve">    醫療用品（非醫療院所使用）</t>
    <phoneticPr fontId="2" type="noConversion"/>
  </si>
  <si>
    <t>租金與利息</t>
    <phoneticPr fontId="2" type="noConversion"/>
  </si>
  <si>
    <t xml:space="preserve">  地租及水租</t>
    <phoneticPr fontId="2" type="noConversion"/>
  </si>
  <si>
    <t xml:space="preserve">    場地租金</t>
    <phoneticPr fontId="2" type="noConversion"/>
  </si>
  <si>
    <t xml:space="preserve">  房租</t>
    <phoneticPr fontId="2" type="noConversion"/>
  </si>
  <si>
    <t xml:space="preserve">    一般房屋租金</t>
    <phoneticPr fontId="2" type="noConversion"/>
  </si>
  <si>
    <t xml:space="preserve">  機器租金</t>
    <phoneticPr fontId="2" type="noConversion"/>
  </si>
  <si>
    <t xml:space="preserve">    機械及設備租金</t>
    <phoneticPr fontId="2" type="noConversion"/>
  </si>
  <si>
    <t xml:space="preserve">  交通及運輸設備租金</t>
    <phoneticPr fontId="2" type="noConversion"/>
  </si>
  <si>
    <t xml:space="preserve">    車租</t>
    <phoneticPr fontId="2" type="noConversion"/>
  </si>
  <si>
    <t xml:space="preserve">  什項設備租金</t>
    <phoneticPr fontId="2" type="noConversion"/>
  </si>
  <si>
    <t xml:space="preserve">    什項設備租金</t>
    <phoneticPr fontId="2" type="noConversion"/>
  </si>
  <si>
    <t>折舊、折耗及攤銷</t>
    <phoneticPr fontId="2" type="noConversion"/>
  </si>
  <si>
    <t xml:space="preserve">  機械及設備折舊</t>
    <phoneticPr fontId="2" type="noConversion"/>
  </si>
  <si>
    <t xml:space="preserve">    機械及設備折舊</t>
    <phoneticPr fontId="2" type="noConversion"/>
  </si>
  <si>
    <t xml:space="preserve">  交通及運輸設備折舊</t>
    <phoneticPr fontId="2" type="noConversion"/>
  </si>
  <si>
    <t xml:space="preserve">    交通及運輸設備折舊</t>
    <phoneticPr fontId="2" type="noConversion"/>
  </si>
  <si>
    <t xml:space="preserve">  什項設備折舊</t>
    <phoneticPr fontId="2" type="noConversion"/>
  </si>
  <si>
    <t xml:space="preserve">    什項設備折舊</t>
    <phoneticPr fontId="2" type="noConversion"/>
  </si>
  <si>
    <t xml:space="preserve">  攤銷</t>
    <phoneticPr fontId="2" type="noConversion"/>
  </si>
  <si>
    <t xml:space="preserve">    攤銷電腦軟體費</t>
    <phoneticPr fontId="2" type="noConversion"/>
  </si>
  <si>
    <t>稅捐與規費(強制費)</t>
    <phoneticPr fontId="2" type="noConversion"/>
  </si>
  <si>
    <t xml:space="preserve">  房屋稅</t>
    <phoneticPr fontId="2" type="noConversion"/>
  </si>
  <si>
    <t xml:space="preserve">    一般房屋稅</t>
    <phoneticPr fontId="2" type="noConversion"/>
  </si>
  <si>
    <t xml:space="preserve">  消費與行為稅</t>
    <phoneticPr fontId="2" type="noConversion"/>
  </si>
  <si>
    <t xml:space="preserve">    貨物稅</t>
    <phoneticPr fontId="2" type="noConversion"/>
  </si>
  <si>
    <t xml:space="preserve">    印花稅</t>
    <phoneticPr fontId="2" type="noConversion"/>
  </si>
  <si>
    <t xml:space="preserve">  規費</t>
    <phoneticPr fontId="2" type="noConversion"/>
  </si>
  <si>
    <t xml:space="preserve">    行政規費與強制費</t>
    <phoneticPr fontId="2" type="noConversion"/>
  </si>
  <si>
    <t>會費、捐助、補助、分攤、救助(濟)與交流活動費</t>
    <phoneticPr fontId="2" type="noConversion"/>
  </si>
  <si>
    <t xml:space="preserve">  捐助、補助與獎助</t>
    <phoneticPr fontId="2" type="noConversion"/>
  </si>
  <si>
    <r>
      <t>合</t>
    </r>
    <r>
      <rPr>
        <sz val="12"/>
        <color indexed="8"/>
        <rFont val="Times New Roman"/>
        <family val="1"/>
      </rPr>
      <t xml:space="preserve">           </t>
    </r>
    <r>
      <rPr>
        <sz val="12"/>
        <color indexed="8"/>
        <rFont val="標楷體"/>
        <family val="4"/>
        <charset val="136"/>
      </rPr>
      <t>計</t>
    </r>
    <phoneticPr fontId="2" type="noConversion"/>
  </si>
  <si>
    <t>中華民國 106 年度</t>
    <phoneticPr fontId="2" type="noConversion"/>
  </si>
  <si>
    <t>中華民國 106 年度</t>
    <phoneticPr fontId="2" type="noConversion"/>
  </si>
  <si>
    <t xml:space="preserve">    捐助國內團體</t>
    <phoneticPr fontId="2" type="noConversion"/>
  </si>
  <si>
    <t xml:space="preserve">    捐助國內團體</t>
    <phoneticPr fontId="2" type="noConversion"/>
  </si>
  <si>
    <t>人次</t>
  </si>
  <si>
    <t>中華民國 106 年度</t>
    <phoneticPr fontId="2" type="noConversion"/>
  </si>
  <si>
    <t>前年度決算數</t>
    <phoneticPr fontId="2" type="noConversion"/>
  </si>
  <si>
    <t>中華民國 106年度</t>
    <phoneticPr fontId="14" type="noConversion"/>
  </si>
  <si>
    <t>中華民國 106 年度</t>
    <phoneticPr fontId="14" type="noConversion"/>
  </si>
  <si>
    <t xml:space="preserve"> 106年度</t>
    <phoneticPr fontId="14" type="noConversion"/>
  </si>
  <si>
    <r>
      <t xml:space="preserve">  </t>
    </r>
    <r>
      <rPr>
        <sz val="12"/>
        <rFont val="標楷體"/>
        <family val="4"/>
        <charset val="136"/>
      </rPr>
      <t xml:space="preserve"> 106.1~106.12</t>
    </r>
    <phoneticPr fontId="14" type="noConversion"/>
  </si>
  <si>
    <t>中華民國 106 年度</t>
    <phoneticPr fontId="14" type="noConversion"/>
  </si>
  <si>
    <t>中華民國 106年度</t>
    <phoneticPr fontId="14" type="noConversion"/>
  </si>
  <si>
    <t>中華民國 106 年度</t>
    <phoneticPr fontId="14" type="noConversion"/>
  </si>
  <si>
    <t>一、業務收入620,324千元，包括：</t>
    <phoneticPr fontId="14" type="noConversion"/>
  </si>
  <si>
    <t xml:space="preserve">  (一)勞務收入619,225千元：係預計各類考試報名費收入。</t>
    <phoneticPr fontId="14" type="noConversion"/>
  </si>
  <si>
    <t xml:space="preserve">  (一)財務收入1,800千元：係銀行存款利息收入。</t>
    <phoneticPr fontId="14" type="noConversion"/>
  </si>
  <si>
    <t>中華民國 106 年度</t>
    <phoneticPr fontId="2" type="noConversion"/>
  </si>
  <si>
    <t>中華民國 106年度</t>
    <phoneticPr fontId="2" type="noConversion"/>
  </si>
  <si>
    <t>1,099千元。</t>
    <phoneticPr fontId="14" type="noConversion"/>
  </si>
  <si>
    <t>中華民國106年12月31日</t>
    <phoneticPr fontId="2" type="noConversion"/>
  </si>
  <si>
    <t>104年12月31日
實  際  數</t>
    <phoneticPr fontId="2" type="noConversion"/>
  </si>
  <si>
    <t>105年12月31日
預  計  數</t>
    <phoneticPr fontId="2" type="noConversion"/>
  </si>
  <si>
    <t>106年12月31日
預  計  數</t>
    <phoneticPr fontId="2" type="noConversion"/>
  </si>
  <si>
    <t xml:space="preserve">備註：信託代理與保證資產(負債)1,058千元，屬保證品(應付保證品)。     </t>
    <phoneticPr fontId="2" type="noConversion"/>
  </si>
  <si>
    <t>包括：折舊21,109千元；攤銷</t>
    <phoneticPr fontId="2" type="noConversion"/>
  </si>
  <si>
    <t>21,247千元；流動資產淨增</t>
    <phoneticPr fontId="2" type="noConversion"/>
  </si>
  <si>
    <t>11,350千元。</t>
    <phoneticPr fontId="2" type="noConversion"/>
  </si>
  <si>
    <t>1,395千元；流動負債淨減</t>
    <phoneticPr fontId="2" type="noConversion"/>
  </si>
  <si>
    <t>增加存入保證金646千元。</t>
    <phoneticPr fontId="2" type="noConversion"/>
  </si>
  <si>
    <t>增加機械及設備16,745千元及</t>
    <phoneticPr fontId="2" type="noConversion"/>
  </si>
  <si>
    <t>什項設備1,538千元。</t>
    <phoneticPr fontId="2" type="noConversion"/>
  </si>
  <si>
    <t xml:space="preserve">    專技人員申請減免應試科目審議</t>
    <phoneticPr fontId="2" type="noConversion"/>
  </si>
  <si>
    <t xml:space="preserve">    專技人員申請實務經歷及專業研習
  </t>
    <phoneticPr fontId="2" type="noConversion"/>
  </si>
  <si>
    <t xml:space="preserve">    紀錄審查</t>
    <phoneticPr fontId="2" type="noConversion"/>
  </si>
  <si>
    <t>中華民國 106 年度</t>
    <phoneticPr fontId="2" type="noConversion"/>
  </si>
  <si>
    <t>中華民國 106 年度</t>
    <phoneticPr fontId="8" type="noConversion"/>
  </si>
  <si>
    <t>103年度決算數</t>
    <phoneticPr fontId="14" type="noConversion"/>
  </si>
  <si>
    <t>102年度決算數</t>
    <phoneticPr fontId="14" type="noConversion"/>
  </si>
  <si>
    <t>中華民國 106年度</t>
    <phoneticPr fontId="8" type="noConversion"/>
  </si>
  <si>
    <t>　　　　定期契約臨時人員400人、90-180天定期契約臨時人員100人及不定期契約臨時人員</t>
    <phoneticPr fontId="14" type="noConversion"/>
  </si>
  <si>
    <t>　　　　80人。</t>
    <phoneticPr fontId="14" type="noConversion"/>
  </si>
  <si>
    <t>　　　3.入闈及考試期間委託醫事人員服務13人次。</t>
    <phoneticPr fontId="14" type="noConversion"/>
  </si>
  <si>
    <t>　　　1.辦理各項考試業務所需支付按日計時之臨時人員之工資62,793千元。</t>
    <phoneticPr fontId="14" type="noConversion"/>
  </si>
  <si>
    <t>　　　3.入闈及考試期間委託醫事人員服務之服務費52千元。</t>
    <phoneticPr fontId="14" type="noConversion"/>
  </si>
  <si>
    <t>106 年度</t>
    <phoneticPr fontId="8" type="noConversion"/>
  </si>
  <si>
    <t>本年度預算數</t>
    <phoneticPr fontId="2" type="noConversion"/>
  </si>
  <si>
    <r>
      <t>金</t>
    </r>
    <r>
      <rPr>
        <sz val="12"/>
        <rFont val="Times New Roman"/>
        <family val="1"/>
      </rPr>
      <t xml:space="preserve">      </t>
    </r>
    <r>
      <rPr>
        <sz val="12"/>
        <rFont val="標楷體"/>
        <family val="4"/>
        <charset val="136"/>
      </rPr>
      <t>額</t>
    </r>
    <phoneticPr fontId="2" type="noConversion"/>
  </si>
  <si>
    <t>%</t>
    <phoneticPr fontId="2" type="noConversion"/>
  </si>
  <si>
    <t>　　　2.清潔外包部分之承攬人力8人、電腦維護、網路維運及機房管理委外之承攬人力1人。</t>
    <phoneticPr fontId="14" type="noConversion"/>
  </si>
  <si>
    <t>　　　2.清潔外包之勞務承攬3,550千元、電腦維護、網路維運及機房管理委外承攬634千元。</t>
    <phoneticPr fontId="14" type="noConversion"/>
  </si>
  <si>
    <t>106年度固定資產建設、改良、擴充及資金來源（圖1）</t>
    <phoneticPr fontId="2" type="noConversion"/>
  </si>
  <si>
    <t>106年度預算</t>
    <phoneticPr fontId="14" type="noConversion"/>
  </si>
  <si>
    <t>106年度收入、成本與費用及賸餘（圖2）</t>
    <phoneticPr fontId="2" type="noConversion"/>
  </si>
  <si>
    <t>102年度決算</t>
    <phoneticPr fontId="14" type="noConversion"/>
  </si>
  <si>
    <t>103年度決算</t>
    <phoneticPr fontId="14" type="noConversion"/>
  </si>
  <si>
    <t>104年度決算</t>
    <phoneticPr fontId="14" type="noConversion"/>
  </si>
  <si>
    <t>106年度預算</t>
    <phoneticPr fontId="2" type="noConversion"/>
  </si>
  <si>
    <t>106 年 度 賸 餘 分 配 （圖4）</t>
    <phoneticPr fontId="2" type="noConversion"/>
  </si>
  <si>
    <t>105年度預算</t>
    <phoneticPr fontId="14" type="noConversion"/>
  </si>
  <si>
    <t>減少暫收及待結轉帳項96千元。</t>
    <phoneticPr fontId="2" type="noConversion"/>
  </si>
  <si>
    <t>其他業務外費用</t>
    <phoneticPr fontId="2" type="noConversion"/>
  </si>
  <si>
    <t xml:space="preserve">    2.百分比及前年度決算數細數之和與總數或略有出入，係四捨五入關係。以下各表同。</t>
    <phoneticPr fontId="2" type="noConversion"/>
  </si>
  <si>
    <t>稅捐與規費(強制費)</t>
    <phoneticPr fontId="2" type="noConversion"/>
  </si>
  <si>
    <t>係估列銀行存款利息收入1,800千元。</t>
    <phoneticPr fontId="2" type="noConversion"/>
  </si>
  <si>
    <t>收支餘絀預計表</t>
    <phoneticPr fontId="2" type="noConversion"/>
  </si>
  <si>
    <t>收支餘絀預計表說明</t>
    <phoneticPr fontId="2" type="noConversion"/>
  </si>
  <si>
    <t xml:space="preserve">    材料及用品費</t>
    <phoneticPr fontId="2" type="noConversion"/>
  </si>
  <si>
    <t xml:space="preserve">    稅捐與規費(強制費)</t>
    <phoneticPr fontId="2" type="noConversion"/>
  </si>
  <si>
    <t>105年度預算</t>
    <phoneticPr fontId="14" type="noConversion"/>
  </si>
  <si>
    <t>15-16</t>
    <phoneticPr fontId="2" type="noConversion"/>
  </si>
  <si>
    <t>（二）明細表</t>
    <phoneticPr fontId="2" type="noConversion"/>
  </si>
  <si>
    <r>
      <t xml:space="preserve">  </t>
    </r>
    <r>
      <rPr>
        <sz val="14"/>
        <rFont val="標楷體"/>
        <family val="4"/>
        <charset val="136"/>
      </rPr>
      <t xml:space="preserve">  2.其他業務收入明細表．．．．．．．．．．．．．．．．．．．．．．．．．．．．．．．．</t>
    </r>
    <phoneticPr fontId="2" type="noConversion"/>
  </si>
  <si>
    <r>
      <t xml:space="preserve">  </t>
    </r>
    <r>
      <rPr>
        <sz val="14"/>
        <rFont val="標楷體"/>
        <family val="4"/>
        <charset val="136"/>
      </rPr>
      <t xml:space="preserve">  3.財務收入明細表．．．．．．．．．．．．．．．．．．．．．．．．．．．．．．．．</t>
    </r>
    <phoneticPr fontId="2" type="noConversion"/>
  </si>
  <si>
    <r>
      <t xml:space="preserve">  </t>
    </r>
    <r>
      <rPr>
        <sz val="14"/>
        <rFont val="標楷體"/>
        <family val="4"/>
        <charset val="136"/>
      </rPr>
      <t xml:space="preserve">  4.其他業務外收入明細表．．．．．．．．．．．．．．．．．．．．．．．．．．．．．．．．</t>
    </r>
    <phoneticPr fontId="2" type="noConversion"/>
  </si>
  <si>
    <t xml:space="preserve">   5.勞務成本明細表及說明．．．．．．．．．．．．．．．．．．．．．．．．．．．．．．</t>
    <phoneticPr fontId="2" type="noConversion"/>
  </si>
  <si>
    <t>23-26</t>
    <phoneticPr fontId="2" type="noConversion"/>
  </si>
  <si>
    <t xml:space="preserve">   6.其他業務成本明細表及說明．．．．．．．．．．．．．．．．．．．．．．．．．．．．．．</t>
    <phoneticPr fontId="2" type="noConversion"/>
  </si>
  <si>
    <t>27-28</t>
    <phoneticPr fontId="2" type="noConversion"/>
  </si>
  <si>
    <t xml:space="preserve">   7.其他業務外費用明細表及說明．．．．．．．．．．．．．．．．．．．．．．．．．．．．．．</t>
    <phoneticPr fontId="2" type="noConversion"/>
  </si>
  <si>
    <t>29-30</t>
    <phoneticPr fontId="2" type="noConversion"/>
  </si>
  <si>
    <t xml:space="preserve">   8.固定資產建設改良擴充明細表．．．．．．．．．．．．．．．．．．．．．．．．．</t>
    <phoneticPr fontId="2" type="noConversion"/>
  </si>
  <si>
    <t xml:space="preserve">   9.固定資產建設改良擴充資金來源明細表．．．．．．．．．．．．．．．．．．．．．．．．</t>
    <phoneticPr fontId="2" type="noConversion"/>
  </si>
  <si>
    <t xml:space="preserve">  10.固定資產建設改良擴充計畫預期進度明細表．．．．．．．．．．．．．．．．．．．．．</t>
    <phoneticPr fontId="2" type="noConversion"/>
  </si>
  <si>
    <t xml:space="preserve">  11.資產折舊明細表．．．．．．．．．．．．．．．．．．．．．．．．．．．．．．．．．．．．</t>
    <phoneticPr fontId="2" type="noConversion"/>
  </si>
  <si>
    <t xml:space="preserve">  12.基金數額增減明細表．．．．．．．．．．．．．．．．．．．．．．．．．．．．．．．．</t>
    <phoneticPr fontId="2" type="noConversion"/>
  </si>
  <si>
    <t xml:space="preserve">   2.５年來主要營運項目分析表．．．．．．．．．．．．．．．．．</t>
    <phoneticPr fontId="2" type="noConversion"/>
  </si>
  <si>
    <t xml:space="preserve">   3.員工人數彙計表．．．．．．．．．．．．．．．．．．．．．．</t>
    <phoneticPr fontId="2" type="noConversion"/>
  </si>
  <si>
    <t>42-43</t>
    <phoneticPr fontId="2" type="noConversion"/>
  </si>
  <si>
    <t xml:space="preserve">   5.各項費用彙計表．．．．．．．．．．．．．．．．．．．．．．．．．．．．．．．29</t>
    <phoneticPr fontId="2" type="noConversion"/>
  </si>
  <si>
    <t>44-45</t>
    <phoneticPr fontId="2" type="noConversion"/>
  </si>
  <si>
    <r>
      <t>　　</t>
    </r>
    <r>
      <rPr>
        <sz val="14"/>
        <rFont val="Times New Roman"/>
        <family val="1"/>
      </rPr>
      <t xml:space="preserve">   </t>
    </r>
    <r>
      <rPr>
        <sz val="14"/>
        <rFont val="標楷體"/>
        <family val="4"/>
        <charset val="136"/>
      </rPr>
      <t>辦理情形報告表．．．．．．．．．．．．．．．．．．．．．．</t>
    </r>
    <phoneticPr fontId="2" type="noConversion"/>
  </si>
  <si>
    <t>中華民國106年度</t>
    <phoneticPr fontId="2" type="noConversion"/>
  </si>
  <si>
    <t>1-14</t>
    <phoneticPr fontId="2" type="noConversion"/>
  </si>
  <si>
    <r>
      <t xml:space="preserve">   1.收支</t>
    </r>
    <r>
      <rPr>
        <sz val="14"/>
        <color rgb="FFFF0000"/>
        <rFont val="標楷體"/>
        <family val="4"/>
        <charset val="136"/>
      </rPr>
      <t>餘絀</t>
    </r>
    <r>
      <rPr>
        <sz val="14"/>
        <rFont val="標楷體"/>
        <family val="4"/>
        <charset val="136"/>
      </rPr>
      <t>預計表及說明．．．．．．．．．．．．．．．．．．．．．</t>
    </r>
    <phoneticPr fontId="2" type="noConversion"/>
  </si>
  <si>
    <t>度應付費用預估溢列數合計2,000千元。</t>
    <phoneticPr fontId="2" type="noConversion"/>
  </si>
  <si>
    <t xml:space="preserve"> </t>
    <phoneticPr fontId="2" type="noConversion"/>
  </si>
  <si>
    <t>上年度預計增減資產原值</t>
    <phoneticPr fontId="14" type="noConversion"/>
  </si>
  <si>
    <t>本年度預計增減資產原值</t>
    <phoneticPr fontId="14" type="noConversion"/>
  </si>
  <si>
    <t>業務成本與費用</t>
    <phoneticPr fontId="14" type="noConversion"/>
  </si>
  <si>
    <r>
      <t xml:space="preserve">  </t>
    </r>
    <r>
      <rPr>
        <sz val="12"/>
        <rFont val="標楷體"/>
        <family val="4"/>
        <charset val="136"/>
      </rPr>
      <t xml:space="preserve"> 勞務成本</t>
    </r>
    <phoneticPr fontId="14" type="noConversion"/>
  </si>
  <si>
    <r>
      <t xml:space="preserve">  </t>
    </r>
    <r>
      <rPr>
        <sz val="12"/>
        <rFont val="標楷體"/>
        <family val="4"/>
        <charset val="136"/>
      </rPr>
      <t xml:space="preserve"> 其他業務成本</t>
    </r>
    <phoneticPr fontId="14" type="noConversion"/>
  </si>
  <si>
    <t>業務外費用</t>
    <phoneticPr fontId="2" type="noConversion"/>
  </si>
  <si>
    <r>
      <t xml:space="preserve">  </t>
    </r>
    <r>
      <rPr>
        <sz val="12"/>
        <rFont val="標楷體"/>
        <family val="4"/>
        <charset val="136"/>
      </rPr>
      <t xml:space="preserve"> 其他業務外費用</t>
    </r>
    <phoneticPr fontId="14" type="noConversion"/>
  </si>
  <si>
    <t>本期賸餘</t>
    <phoneticPr fontId="14" type="noConversion"/>
  </si>
  <si>
    <t>成本、費用及賸餘總額</t>
    <phoneticPr fontId="14" type="noConversion"/>
  </si>
  <si>
    <t>註：102至104年度決算數為審定決算數；105年度為法定預算數。</t>
    <phoneticPr fontId="3" type="noConversion"/>
  </si>
  <si>
    <t>留存非營業基金</t>
    <phoneticPr fontId="2" type="noConversion"/>
  </si>
  <si>
    <t>賸餘分配</t>
    <phoneticPr fontId="14" type="noConversion"/>
  </si>
  <si>
    <t>　未分配賸餘</t>
    <phoneticPr fontId="14" type="noConversion"/>
  </si>
  <si>
    <t>合　　　   計</t>
    <phoneticPr fontId="14" type="noConversion"/>
  </si>
  <si>
    <t>二、業務成本與費用613,566千元，包括：</t>
    <phoneticPr fontId="14" type="noConversion"/>
  </si>
  <si>
    <t xml:space="preserve">  (一)勞務成本612,467千元：係辦理各項考試所發生之必要成本。</t>
    <phoneticPr fontId="14" type="noConversion"/>
  </si>
  <si>
    <t xml:space="preserve">  (二)其他業務成本1,099千元：係辦理各類考試應考人申請閱覽試卷及成績複查之相關
      成本。</t>
    <phoneticPr fontId="14" type="noConversion"/>
  </si>
  <si>
    <t xml:space="preserve">三、業務收入與業務成本與費用相抵，本年度之業務賸餘為6,758千元。     </t>
    <phoneticPr fontId="14" type="noConversion"/>
  </si>
  <si>
    <t>四、業務外收入3,800千元，包括：</t>
    <phoneticPr fontId="14" type="noConversion"/>
  </si>
  <si>
    <t xml:space="preserve">  (二)其他業務外收入2,000千元：係應考人退費支票逾期1年未兌領款項及以前年度應付
      費用預估溢列數。</t>
    <phoneticPr fontId="14" type="noConversion"/>
  </si>
  <si>
    <t>五、業務外費用50千元：係以前年度應考人申請退還報名費支票逾1年未兌領，重新再申
    請補開支票之費用。</t>
    <phoneticPr fontId="14" type="noConversion"/>
  </si>
  <si>
    <t>六、綜上，本期賸餘為10,508千元。</t>
    <phoneticPr fontId="14" type="noConversion"/>
  </si>
  <si>
    <t>註：1.前年度決算數為審定決算數；上年度預算數為法定預算數。</t>
    <phoneticPr fontId="2" type="noConversion"/>
  </si>
  <si>
    <t>47-59</t>
    <phoneticPr fontId="14" type="noConversion"/>
  </si>
</sst>
</file>

<file path=xl/styles.xml><?xml version="1.0" encoding="utf-8"?>
<styleSheet xmlns="http://schemas.openxmlformats.org/spreadsheetml/2006/main">
  <numFmts count="11">
    <numFmt numFmtId="41" formatCode="_-* #,##0_-;\-* #,##0_-;_-* &quot;-&quot;_-;_-@_-"/>
    <numFmt numFmtId="43" formatCode="_-* #,##0.00_-;\-* #,##0.00_-;_-* &quot;-&quot;??_-;_-@_-"/>
    <numFmt numFmtId="176" formatCode="0.00_ "/>
    <numFmt numFmtId="177" formatCode="_-* #,##0_-;\-* #,##0_-;_-* &quot;-&quot;??_-;_-@_-"/>
    <numFmt numFmtId="178" formatCode="#,##0_ "/>
    <numFmt numFmtId="179" formatCode="#,##0_ ;[Red]\-#,##0\ "/>
    <numFmt numFmtId="180" formatCode="#,##0_);[Red]\(#,##0\)"/>
    <numFmt numFmtId="181" formatCode="_-* #,##0.00_-;\-* #,##0.00_-;_-* &quot;-&quot;_-;_-@_-"/>
    <numFmt numFmtId="182" formatCode="_(&quot;$&quot;* #,##0_);_(&quot;$&quot;* \(#,##0\);_(&quot;$&quot;* &quot;-&quot;_);_(@_)"/>
    <numFmt numFmtId="183" formatCode="#,##0.00_ "/>
    <numFmt numFmtId="184" formatCode="#,##0.00_);[Red]\(#,##0.00\)"/>
  </numFmts>
  <fonts count="90">
    <font>
      <sz val="12"/>
      <name val="新細明體"/>
      <family val="1"/>
      <charset val="136"/>
    </font>
    <font>
      <sz val="12"/>
      <name val="新細明體"/>
      <family val="1"/>
      <charset val="136"/>
    </font>
    <font>
      <sz val="9"/>
      <name val="細明體"/>
      <family val="3"/>
      <charset val="136"/>
    </font>
    <font>
      <sz val="12"/>
      <name val="Times New Roman"/>
      <family val="1"/>
    </font>
    <font>
      <sz val="11"/>
      <name val="Times New Roman"/>
      <family val="1"/>
    </font>
    <font>
      <sz val="12"/>
      <name val="標楷體"/>
      <family val="4"/>
      <charset val="136"/>
    </font>
    <font>
      <sz val="13"/>
      <name val="標楷體"/>
      <family val="4"/>
      <charset val="136"/>
    </font>
    <font>
      <sz val="14"/>
      <name val="標楷體"/>
      <family val="4"/>
      <charset val="136"/>
    </font>
    <font>
      <sz val="11"/>
      <name val="標楷體"/>
      <family val="4"/>
      <charset val="136"/>
    </font>
    <font>
      <sz val="10"/>
      <name val="標楷體"/>
      <family val="4"/>
      <charset val="136"/>
    </font>
    <font>
      <b/>
      <sz val="11"/>
      <name val="標楷體"/>
      <family val="4"/>
      <charset val="136"/>
    </font>
    <font>
      <b/>
      <sz val="10"/>
      <name val="標楷體"/>
      <family val="4"/>
      <charset val="136"/>
    </font>
    <font>
      <b/>
      <sz val="12"/>
      <name val="標楷體"/>
      <family val="4"/>
      <charset val="136"/>
    </font>
    <font>
      <sz val="12"/>
      <name val="新細明體"/>
      <family val="1"/>
      <charset val="136"/>
    </font>
    <font>
      <sz val="9"/>
      <name val="新細明體"/>
      <family val="1"/>
      <charset val="136"/>
    </font>
    <font>
      <u/>
      <sz val="12"/>
      <name val="標楷體"/>
      <family val="4"/>
      <charset val="136"/>
    </font>
    <font>
      <sz val="16"/>
      <name val="標楷體"/>
      <family val="4"/>
      <charset val="136"/>
    </font>
    <font>
      <sz val="18"/>
      <name val="標楷體"/>
      <family val="4"/>
      <charset val="136"/>
    </font>
    <font>
      <u/>
      <sz val="16"/>
      <name val="標楷體"/>
      <family val="4"/>
      <charset val="136"/>
    </font>
    <font>
      <b/>
      <sz val="16"/>
      <name val="標楷體"/>
      <family val="4"/>
      <charset val="136"/>
    </font>
    <font>
      <b/>
      <sz val="14"/>
      <name val="標楷體"/>
      <family val="4"/>
      <charset val="136"/>
    </font>
    <font>
      <b/>
      <sz val="24"/>
      <name val="標楷體"/>
      <family val="4"/>
      <charset val="136"/>
    </font>
    <font>
      <b/>
      <u/>
      <sz val="16"/>
      <name val="標楷體"/>
      <family val="4"/>
      <charset val="136"/>
    </font>
    <font>
      <sz val="10"/>
      <color indexed="8"/>
      <name val="標楷體"/>
      <family val="4"/>
      <charset val="136"/>
    </font>
    <font>
      <sz val="11"/>
      <color indexed="8"/>
      <name val="標楷體"/>
      <family val="4"/>
      <charset val="136"/>
    </font>
    <font>
      <sz val="11"/>
      <color indexed="8"/>
      <name val="Times New Roman"/>
      <family val="1"/>
    </font>
    <font>
      <u/>
      <sz val="18"/>
      <name val="標楷體"/>
      <family val="4"/>
      <charset val="136"/>
    </font>
    <font>
      <b/>
      <sz val="11"/>
      <color indexed="8"/>
      <name val="標楷體"/>
      <family val="4"/>
      <charset val="136"/>
    </font>
    <font>
      <b/>
      <sz val="12"/>
      <color indexed="8"/>
      <name val="標楷體"/>
      <family val="4"/>
      <charset val="136"/>
    </font>
    <font>
      <b/>
      <sz val="12"/>
      <color indexed="8"/>
      <name val="新細明體"/>
      <family val="1"/>
      <charset val="136"/>
    </font>
    <font>
      <sz val="11"/>
      <color indexed="8"/>
      <name val="新細明體"/>
      <family val="1"/>
      <charset val="136"/>
    </font>
    <font>
      <sz val="12"/>
      <color indexed="8"/>
      <name val="標楷體"/>
      <family val="4"/>
      <charset val="136"/>
    </font>
    <font>
      <sz val="12"/>
      <color indexed="8"/>
      <name val="新細明體"/>
      <family val="1"/>
      <charset val="136"/>
    </font>
    <font>
      <sz val="12"/>
      <color indexed="8"/>
      <name val="Times New Roman"/>
      <family val="1"/>
    </font>
    <font>
      <sz val="13"/>
      <color indexed="8"/>
      <name val="標楷體"/>
      <family val="4"/>
      <charset val="136"/>
    </font>
    <font>
      <b/>
      <sz val="14"/>
      <color indexed="8"/>
      <name val="標楷體"/>
      <family val="4"/>
      <charset val="136"/>
    </font>
    <font>
      <sz val="14"/>
      <color indexed="8"/>
      <name val="新細明體"/>
      <family val="1"/>
      <charset val="136"/>
    </font>
    <font>
      <sz val="14"/>
      <color indexed="8"/>
      <name val="標楷體"/>
      <family val="4"/>
      <charset val="136"/>
    </font>
    <font>
      <b/>
      <sz val="12"/>
      <color indexed="8"/>
      <name val="Times New Roman"/>
      <family val="1"/>
    </font>
    <font>
      <sz val="9"/>
      <color indexed="8"/>
      <name val="標楷體"/>
      <family val="4"/>
      <charset val="136"/>
    </font>
    <font>
      <sz val="10"/>
      <color indexed="8"/>
      <name val="Times New Roman"/>
      <family val="1"/>
    </font>
    <font>
      <sz val="8"/>
      <color indexed="8"/>
      <name val="標楷體"/>
      <family val="4"/>
      <charset val="136"/>
    </font>
    <font>
      <b/>
      <sz val="16"/>
      <color indexed="8"/>
      <name val="標楷體"/>
      <family val="4"/>
      <charset val="136"/>
    </font>
    <font>
      <sz val="16"/>
      <color indexed="8"/>
      <name val="新細明體"/>
      <family val="1"/>
      <charset val="136"/>
    </font>
    <font>
      <b/>
      <sz val="11"/>
      <color indexed="8"/>
      <name val="新細明體"/>
      <family val="1"/>
      <charset val="136"/>
    </font>
    <font>
      <sz val="16"/>
      <color indexed="8"/>
      <name val="標楷體"/>
      <family val="4"/>
      <charset val="136"/>
    </font>
    <font>
      <b/>
      <sz val="10"/>
      <color indexed="8"/>
      <name val="標楷體"/>
      <family val="4"/>
      <charset val="136"/>
    </font>
    <font>
      <b/>
      <sz val="8"/>
      <color indexed="8"/>
      <name val="標楷體"/>
      <family val="4"/>
      <charset val="136"/>
    </font>
    <font>
      <sz val="11"/>
      <color indexed="10"/>
      <name val="標楷體"/>
      <family val="4"/>
      <charset val="136"/>
    </font>
    <font>
      <sz val="11"/>
      <color indexed="10"/>
      <name val="Times New Roman"/>
      <family val="1"/>
    </font>
    <font>
      <sz val="16"/>
      <name val="新細明體"/>
      <family val="1"/>
      <charset val="136"/>
    </font>
    <font>
      <b/>
      <sz val="12"/>
      <name val="Arial"/>
      <family val="2"/>
    </font>
    <font>
      <b/>
      <i/>
      <sz val="10"/>
      <name val="Times New Roman"/>
      <family val="1"/>
    </font>
    <font>
      <sz val="24"/>
      <name val="標楷體"/>
      <family val="4"/>
      <charset val="136"/>
    </font>
    <font>
      <sz val="24"/>
      <name val="Times New Roman"/>
      <family val="1"/>
    </font>
    <font>
      <sz val="18"/>
      <name val="Times New Roman"/>
      <family val="1"/>
    </font>
    <font>
      <sz val="11"/>
      <color indexed="12"/>
      <name val="標楷體"/>
      <family val="4"/>
      <charset val="136"/>
    </font>
    <font>
      <sz val="11"/>
      <name val="新細明體"/>
      <family val="1"/>
      <charset val="136"/>
    </font>
    <font>
      <b/>
      <sz val="36"/>
      <name val="標楷體"/>
      <family val="4"/>
      <charset val="136"/>
    </font>
    <font>
      <b/>
      <sz val="16"/>
      <name val="新細明體"/>
      <family val="1"/>
      <charset val="136"/>
    </font>
    <font>
      <b/>
      <u/>
      <sz val="16"/>
      <name val="Times New Roman"/>
      <family val="1"/>
    </font>
    <font>
      <b/>
      <sz val="36"/>
      <name val="Times New Roman"/>
      <family val="1"/>
    </font>
    <font>
      <sz val="10"/>
      <color indexed="8"/>
      <name val="新細明體"/>
      <family val="1"/>
      <charset val="136"/>
    </font>
    <font>
      <b/>
      <sz val="10"/>
      <color indexed="8"/>
      <name val="新細明體"/>
      <family val="1"/>
      <charset val="136"/>
    </font>
    <font>
      <b/>
      <sz val="12"/>
      <name val="新細明體"/>
      <family val="1"/>
      <charset val="136"/>
    </font>
    <font>
      <sz val="12"/>
      <color indexed="10"/>
      <name val="標楷體"/>
      <family val="4"/>
      <charset val="136"/>
    </font>
    <font>
      <sz val="18"/>
      <name val="新細明體"/>
      <family val="1"/>
      <charset val="136"/>
    </font>
    <font>
      <sz val="12"/>
      <name val="新細明體"/>
      <family val="1"/>
      <charset val="136"/>
    </font>
    <font>
      <b/>
      <sz val="16"/>
      <color indexed="8"/>
      <name val="Times New Roman"/>
      <family val="1"/>
    </font>
    <font>
      <u/>
      <sz val="18"/>
      <color indexed="8"/>
      <name val="Times New Roman"/>
      <family val="1"/>
    </font>
    <font>
      <u/>
      <sz val="16"/>
      <color indexed="8"/>
      <name val="Times New Roman"/>
      <family val="1"/>
    </font>
    <font>
      <sz val="10"/>
      <name val="新細明體"/>
      <family val="1"/>
      <charset val="136"/>
    </font>
    <font>
      <sz val="14"/>
      <name val="Arial"/>
      <family val="2"/>
    </font>
    <font>
      <sz val="18"/>
      <color indexed="8"/>
      <name val="標楷體"/>
      <family val="4"/>
      <charset val="136"/>
    </font>
    <font>
      <sz val="18"/>
      <color indexed="8"/>
      <name val="新細明體"/>
      <family val="1"/>
      <charset val="136"/>
    </font>
    <font>
      <b/>
      <sz val="11"/>
      <name val="新細明體"/>
      <family val="1"/>
      <charset val="136"/>
    </font>
    <font>
      <b/>
      <sz val="12"/>
      <name val="Times New Roman"/>
      <family val="1"/>
    </font>
    <font>
      <sz val="12"/>
      <name val="新細明體"/>
      <family val="1"/>
      <charset val="136"/>
    </font>
    <font>
      <sz val="14"/>
      <name val="Times New Roman"/>
      <family val="1"/>
    </font>
    <font>
      <sz val="12"/>
      <color indexed="10"/>
      <name val="新細明體"/>
      <family val="1"/>
      <charset val="136"/>
    </font>
    <font>
      <b/>
      <sz val="10"/>
      <color indexed="8"/>
      <name val="Times New Roman"/>
      <family val="1"/>
    </font>
    <font>
      <sz val="12"/>
      <color indexed="12"/>
      <name val="標楷體"/>
      <family val="4"/>
      <charset val="136"/>
    </font>
    <font>
      <sz val="12"/>
      <color indexed="20"/>
      <name val="標楷體"/>
      <family val="4"/>
      <charset val="136"/>
    </font>
    <font>
      <sz val="12"/>
      <color rgb="FFFF0000"/>
      <name val="標楷體"/>
      <family val="4"/>
      <charset val="136"/>
    </font>
    <font>
      <sz val="9"/>
      <color indexed="81"/>
      <name val="Tahoma"/>
      <family val="2"/>
    </font>
    <font>
      <b/>
      <sz val="9"/>
      <color indexed="81"/>
      <name val="Tahoma"/>
      <family val="2"/>
    </font>
    <font>
      <sz val="9"/>
      <color indexed="81"/>
      <name val="細明體"/>
      <family val="3"/>
      <charset val="136"/>
    </font>
    <font>
      <sz val="11"/>
      <color rgb="FFFF0000"/>
      <name val="標楷體"/>
      <family val="4"/>
      <charset val="136"/>
    </font>
    <font>
      <sz val="14"/>
      <color rgb="FFFF0000"/>
      <name val="標楷體"/>
      <family val="4"/>
      <charset val="136"/>
    </font>
    <font>
      <sz val="10"/>
      <name val="Times New Roman"/>
      <family val="1"/>
    </font>
  </fonts>
  <fills count="6">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FFCC"/>
        <bgColor indexed="64"/>
      </patternFill>
    </fill>
    <fill>
      <patternFill patternType="solid">
        <fgColor rgb="FFFFC000"/>
        <bgColor indexed="64"/>
      </patternFill>
    </fill>
  </fills>
  <borders count="64">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s>
  <cellStyleXfs count="9">
    <xf numFmtId="0" fontId="0" fillId="0" borderId="0"/>
    <xf numFmtId="0" fontId="51" fillId="0" borderId="1" applyNumberFormat="0" applyAlignment="0" applyProtection="0">
      <alignment horizontal="left" vertical="center"/>
    </xf>
    <xf numFmtId="0" fontId="51" fillId="0" borderId="2">
      <alignment horizontal="left" vertical="center"/>
    </xf>
    <xf numFmtId="0" fontId="52" fillId="0" borderId="0">
      <alignment horizontal="left"/>
    </xf>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182" fontId="3" fillId="0" borderId="0" applyFont="0" applyFill="0" applyBorder="0" applyAlignment="0" applyProtection="0"/>
    <xf numFmtId="0" fontId="1" fillId="0" borderId="0"/>
  </cellStyleXfs>
  <cellXfs count="1276">
    <xf numFmtId="0" fontId="0" fillId="0" borderId="0" xfId="0"/>
    <xf numFmtId="0" fontId="5" fillId="0" borderId="0" xfId="0" applyFont="1"/>
    <xf numFmtId="0" fontId="5" fillId="0" borderId="3" xfId="0" applyFont="1" applyBorder="1" applyAlignment="1">
      <alignment horizontal="center"/>
    </xf>
    <xf numFmtId="0" fontId="5" fillId="0" borderId="0" xfId="0" applyFont="1" applyAlignment="1">
      <alignment horizontal="center"/>
    </xf>
    <xf numFmtId="0" fontId="6" fillId="0" borderId="0" xfId="0" applyFont="1" applyAlignment="1">
      <alignment horizontal="center"/>
    </xf>
    <xf numFmtId="0" fontId="7" fillId="0" borderId="0" xfId="0" applyFont="1" applyAlignment="1">
      <alignment horizontal="center"/>
    </xf>
    <xf numFmtId="0" fontId="5" fillId="0" borderId="4" xfId="0" applyFont="1" applyBorder="1"/>
    <xf numFmtId="177" fontId="5" fillId="0" borderId="5" xfId="4" applyNumberFormat="1" applyFont="1" applyBorder="1"/>
    <xf numFmtId="0" fontId="5" fillId="0" borderId="5" xfId="0" applyFont="1" applyBorder="1"/>
    <xf numFmtId="0" fontId="9" fillId="0" borderId="0" xfId="0" applyFont="1"/>
    <xf numFmtId="0" fontId="5" fillId="0" borderId="0" xfId="0" applyFont="1" applyBorder="1"/>
    <xf numFmtId="0" fontId="5" fillId="0" borderId="0" xfId="0" applyFont="1" applyAlignment="1">
      <alignment horizontal="right"/>
    </xf>
    <xf numFmtId="0" fontId="15" fillId="0" borderId="0" xfId="0" applyFont="1" applyAlignment="1">
      <alignment horizontal="center"/>
    </xf>
    <xf numFmtId="0" fontId="20" fillId="0" borderId="8" xfId="0" applyFont="1" applyBorder="1"/>
    <xf numFmtId="0" fontId="5" fillId="0" borderId="3" xfId="0" applyFont="1" applyBorder="1" applyAlignment="1">
      <alignment horizontal="center" vertical="center"/>
    </xf>
    <xf numFmtId="49" fontId="5" fillId="0" borderId="9"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5" fillId="0" borderId="12" xfId="0" applyFont="1" applyBorder="1"/>
    <xf numFmtId="0" fontId="5" fillId="0" borderId="13" xfId="0" applyFont="1" applyBorder="1"/>
    <xf numFmtId="0" fontId="5" fillId="0" borderId="14" xfId="0" applyFont="1" applyBorder="1"/>
    <xf numFmtId="0" fontId="9" fillId="0" borderId="0" xfId="0" applyFont="1" applyBorder="1" applyAlignment="1">
      <alignment horizontal="center"/>
    </xf>
    <xf numFmtId="0" fontId="9" fillId="0" borderId="0" xfId="0" applyFont="1" applyAlignment="1">
      <alignment horizontal="right"/>
    </xf>
    <xf numFmtId="0" fontId="5" fillId="0" borderId="5" xfId="0" applyFont="1" applyBorder="1" applyAlignment="1">
      <alignment vertical="top"/>
    </xf>
    <xf numFmtId="0" fontId="5" fillId="0" borderId="0" xfId="0" applyFont="1" applyBorder="1" applyAlignment="1">
      <alignment vertical="top"/>
    </xf>
    <xf numFmtId="0" fontId="25" fillId="0" borderId="6" xfId="0" applyFont="1" applyFill="1" applyBorder="1" applyAlignment="1">
      <alignment horizontal="left"/>
    </xf>
    <xf numFmtId="177" fontId="24" fillId="0" borderId="16" xfId="4" applyNumberFormat="1" applyFont="1" applyFill="1" applyBorder="1"/>
    <xf numFmtId="0" fontId="5" fillId="0" borderId="17" xfId="0" applyFont="1" applyBorder="1"/>
    <xf numFmtId="0" fontId="5" fillId="0" borderId="0" xfId="0" applyFont="1" applyAlignment="1">
      <alignment vertical="top"/>
    </xf>
    <xf numFmtId="0" fontId="5" fillId="0" borderId="18" xfId="0" applyFont="1" applyBorder="1"/>
    <xf numFmtId="41" fontId="5" fillId="0" borderId="5" xfId="5" applyFont="1" applyBorder="1" applyAlignment="1">
      <alignment vertical="top" wrapText="1"/>
    </xf>
    <xf numFmtId="177" fontId="24" fillId="2" borderId="5" xfId="4" applyNumberFormat="1" applyFont="1" applyFill="1" applyBorder="1"/>
    <xf numFmtId="10" fontId="24" fillId="2" borderId="5" xfId="4" applyNumberFormat="1" applyFont="1" applyFill="1" applyBorder="1"/>
    <xf numFmtId="177" fontId="24" fillId="0" borderId="16" xfId="0" applyNumberFormat="1" applyFont="1" applyFill="1" applyBorder="1" applyAlignment="1">
      <alignment horizontal="center"/>
    </xf>
    <xf numFmtId="0" fontId="31" fillId="0" borderId="0" xfId="0" applyFont="1" applyFill="1"/>
    <xf numFmtId="0" fontId="32" fillId="0" borderId="0" xfId="0" applyFont="1"/>
    <xf numFmtId="177" fontId="24" fillId="0" borderId="5" xfId="4" applyNumberFormat="1" applyFont="1" applyBorder="1"/>
    <xf numFmtId="0" fontId="31" fillId="0" borderId="0" xfId="0" applyFont="1" applyAlignment="1">
      <alignment horizontal="center"/>
    </xf>
    <xf numFmtId="0" fontId="34" fillId="0" borderId="0" xfId="0" applyFont="1" applyAlignment="1">
      <alignment horizontal="center"/>
    </xf>
    <xf numFmtId="0" fontId="37" fillId="0" borderId="0" xfId="0" applyFont="1" applyAlignment="1">
      <alignment horizontal="center"/>
    </xf>
    <xf numFmtId="0" fontId="24" fillId="0" borderId="0" xfId="0" applyFont="1" applyAlignment="1">
      <alignment horizontal="center"/>
    </xf>
    <xf numFmtId="0" fontId="24" fillId="0" borderId="0" xfId="0" applyFont="1" applyAlignment="1">
      <alignment horizontal="right"/>
    </xf>
    <xf numFmtId="0" fontId="31" fillId="0" borderId="0" xfId="0" applyFont="1"/>
    <xf numFmtId="177" fontId="24" fillId="0" borderId="0" xfId="4" applyNumberFormat="1" applyFont="1" applyFill="1" applyBorder="1"/>
    <xf numFmtId="0" fontId="24" fillId="0" borderId="0" xfId="0" applyFont="1" applyFill="1" applyBorder="1"/>
    <xf numFmtId="0" fontId="24" fillId="0" borderId="6" xfId="0" applyFont="1" applyFill="1" applyBorder="1"/>
    <xf numFmtId="0" fontId="32" fillId="0" borderId="0" xfId="0" applyFont="1" applyAlignment="1">
      <alignment horizontal="center"/>
    </xf>
    <xf numFmtId="0" fontId="35" fillId="0" borderId="0" xfId="0" applyFont="1" applyFill="1" applyBorder="1" applyAlignment="1">
      <alignment horizontal="left"/>
    </xf>
    <xf numFmtId="0" fontId="24" fillId="0" borderId="0" xfId="0" applyFont="1" applyFill="1" applyBorder="1" applyAlignment="1">
      <alignment horizontal="center"/>
    </xf>
    <xf numFmtId="0" fontId="24" fillId="0" borderId="0" xfId="0" applyFont="1"/>
    <xf numFmtId="0" fontId="24" fillId="0" borderId="5" xfId="0" applyFont="1" applyFill="1" applyBorder="1"/>
    <xf numFmtId="0" fontId="25" fillId="0" borderId="6" xfId="0" applyFont="1" applyFill="1" applyBorder="1" applyAlignment="1"/>
    <xf numFmtId="0" fontId="30" fillId="0" borderId="0" xfId="0" applyFont="1"/>
    <xf numFmtId="0" fontId="25" fillId="0" borderId="6" xfId="0" applyFont="1" applyFill="1" applyBorder="1"/>
    <xf numFmtId="0" fontId="28" fillId="0" borderId="5" xfId="0" applyFont="1" applyFill="1" applyBorder="1"/>
    <xf numFmtId="0" fontId="28" fillId="0" borderId="6" xfId="0" applyFont="1" applyFill="1" applyBorder="1"/>
    <xf numFmtId="0" fontId="23" fillId="2" borderId="0" xfId="0" applyFont="1" applyFill="1"/>
    <xf numFmtId="0" fontId="31" fillId="2" borderId="4" xfId="0" applyFont="1" applyFill="1" applyBorder="1" applyAlignment="1">
      <alignment horizontal="center" vertical="center"/>
    </xf>
    <xf numFmtId="0" fontId="31" fillId="2" borderId="0" xfId="0" applyFont="1" applyFill="1"/>
    <xf numFmtId="0" fontId="24" fillId="2" borderId="7" xfId="0" applyFont="1" applyFill="1" applyBorder="1" applyAlignment="1">
      <alignment horizontal="left"/>
    </xf>
    <xf numFmtId="0" fontId="24" fillId="2" borderId="7" xfId="0" applyFont="1" applyFill="1" applyBorder="1" applyAlignment="1">
      <alignment horizontal="center"/>
    </xf>
    <xf numFmtId="0" fontId="24" fillId="2" borderId="5" xfId="0" applyFont="1" applyFill="1" applyBorder="1"/>
    <xf numFmtId="177" fontId="24" fillId="2" borderId="5" xfId="0" applyNumberFormat="1" applyFont="1" applyFill="1" applyBorder="1"/>
    <xf numFmtId="0" fontId="39" fillId="2" borderId="7" xfId="0" applyFont="1" applyFill="1" applyBorder="1" applyAlignment="1">
      <alignment horizontal="left"/>
    </xf>
    <xf numFmtId="177" fontId="39" fillId="2" borderId="5" xfId="4" applyNumberFormat="1" applyFont="1" applyFill="1" applyBorder="1"/>
    <xf numFmtId="0" fontId="39" fillId="2" borderId="5" xfId="0" applyFont="1" applyFill="1" applyBorder="1"/>
    <xf numFmtId="0" fontId="31" fillId="2" borderId="7" xfId="0" applyFont="1" applyFill="1" applyBorder="1" applyAlignment="1">
      <alignment horizontal="left" vertical="top"/>
    </xf>
    <xf numFmtId="177" fontId="24" fillId="0" borderId="7" xfId="4" applyNumberFormat="1" applyFont="1" applyBorder="1"/>
    <xf numFmtId="0" fontId="30" fillId="0" borderId="0" xfId="0" applyFont="1" applyBorder="1"/>
    <xf numFmtId="0" fontId="23" fillId="0" borderId="0" xfId="0" applyFont="1" applyBorder="1"/>
    <xf numFmtId="0" fontId="24" fillId="0" borderId="7" xfId="0" applyFont="1" applyBorder="1"/>
    <xf numFmtId="0" fontId="30" fillId="0" borderId="4" xfId="0" applyFont="1" applyBorder="1"/>
    <xf numFmtId="41" fontId="24" fillId="0" borderId="6" xfId="0" applyNumberFormat="1" applyFont="1" applyFill="1" applyBorder="1"/>
    <xf numFmtId="41" fontId="32" fillId="0" borderId="0" xfId="0" applyNumberFormat="1" applyFont="1"/>
    <xf numFmtId="0" fontId="23" fillId="0" borderId="0" xfId="0" applyFont="1"/>
    <xf numFmtId="0" fontId="32" fillId="0" borderId="19" xfId="0" applyFont="1" applyBorder="1" applyAlignment="1">
      <alignment horizontal="center"/>
    </xf>
    <xf numFmtId="0" fontId="31" fillId="0" borderId="12" xfId="0" applyFont="1" applyBorder="1" applyAlignment="1">
      <alignment horizontal="center"/>
    </xf>
    <xf numFmtId="0" fontId="24" fillId="0" borderId="6" xfId="0" applyFont="1" applyFill="1" applyBorder="1" applyAlignment="1">
      <alignment horizontal="left"/>
    </xf>
    <xf numFmtId="0" fontId="24" fillId="0" borderId="0" xfId="0" applyFont="1" applyFill="1" applyBorder="1" applyAlignment="1">
      <alignment horizontal="left"/>
    </xf>
    <xf numFmtId="0" fontId="25" fillId="0" borderId="0" xfId="0" applyFont="1" applyFill="1" applyBorder="1" applyAlignment="1"/>
    <xf numFmtId="0" fontId="28" fillId="0" borderId="0" xfId="0" applyFont="1" applyFill="1" applyBorder="1" applyAlignment="1">
      <alignment horizontal="left"/>
    </xf>
    <xf numFmtId="0" fontId="33" fillId="0" borderId="6" xfId="0" applyFont="1" applyFill="1" applyBorder="1"/>
    <xf numFmtId="0" fontId="25" fillId="0" borderId="0" xfId="0" applyFont="1" applyFill="1" applyBorder="1"/>
    <xf numFmtId="0" fontId="30" fillId="0" borderId="0" xfId="0" applyFont="1" applyFill="1" applyBorder="1"/>
    <xf numFmtId="0" fontId="32" fillId="0" borderId="20" xfId="0" applyFont="1" applyBorder="1"/>
    <xf numFmtId="0" fontId="32" fillId="0" borderId="0" xfId="0" applyFont="1" applyFill="1"/>
    <xf numFmtId="43" fontId="30" fillId="0" borderId="0" xfId="4" applyFont="1"/>
    <xf numFmtId="0" fontId="31" fillId="0" borderId="6" xfId="0" applyFont="1" applyFill="1" applyBorder="1"/>
    <xf numFmtId="0" fontId="31" fillId="0" borderId="3" xfId="0" applyFont="1" applyBorder="1" applyAlignment="1">
      <alignment horizontal="center" vertical="center"/>
    </xf>
    <xf numFmtId="0" fontId="28" fillId="0" borderId="0" xfId="0" applyFont="1" applyFill="1" applyBorder="1"/>
    <xf numFmtId="177" fontId="24" fillId="0" borderId="0" xfId="4" applyNumberFormat="1" applyFont="1" applyBorder="1"/>
    <xf numFmtId="177" fontId="31" fillId="0" borderId="0" xfId="4" applyNumberFormat="1" applyFont="1" applyBorder="1"/>
    <xf numFmtId="0" fontId="40" fillId="0" borderId="0" xfId="0" applyFont="1" applyBorder="1"/>
    <xf numFmtId="0" fontId="31" fillId="0" borderId="0" xfId="0" applyFont="1" applyAlignment="1">
      <alignment horizontal="right"/>
    </xf>
    <xf numFmtId="0" fontId="31" fillId="0" borderId="0" xfId="0" applyFont="1" applyBorder="1"/>
    <xf numFmtId="0" fontId="31" fillId="0" borderId="8" xfId="0" applyFont="1" applyBorder="1"/>
    <xf numFmtId="41" fontId="31" fillId="0" borderId="0" xfId="0" applyNumberFormat="1" applyFont="1"/>
    <xf numFmtId="0" fontId="44" fillId="0" borderId="0" xfId="0" applyFont="1"/>
    <xf numFmtId="0" fontId="28" fillId="0" borderId="0" xfId="0" applyFont="1"/>
    <xf numFmtId="0" fontId="29" fillId="0" borderId="0" xfId="0" applyFont="1"/>
    <xf numFmtId="0" fontId="31" fillId="0" borderId="11" xfId="0" applyFont="1" applyBorder="1"/>
    <xf numFmtId="41" fontId="24" fillId="0" borderId="16" xfId="4" applyNumberFormat="1" applyFont="1" applyFill="1" applyBorder="1"/>
    <xf numFmtId="0" fontId="5" fillId="0" borderId="21" xfId="0" applyFont="1" applyBorder="1"/>
    <xf numFmtId="0" fontId="5" fillId="0" borderId="22" xfId="0" applyFont="1" applyBorder="1"/>
    <xf numFmtId="0" fontId="11" fillId="0" borderId="0" xfId="0" applyFont="1"/>
    <xf numFmtId="0" fontId="28" fillId="2" borderId="0" xfId="0" applyFont="1" applyFill="1"/>
    <xf numFmtId="0" fontId="31" fillId="0" borderId="23" xfId="0" applyFont="1" applyBorder="1"/>
    <xf numFmtId="0" fontId="31" fillId="0" borderId="12" xfId="0" applyFont="1" applyBorder="1"/>
    <xf numFmtId="0" fontId="31" fillId="0" borderId="13" xfId="0" applyFont="1" applyBorder="1"/>
    <xf numFmtId="0" fontId="5" fillId="0" borderId="0" xfId="0" applyFont="1" applyAlignment="1">
      <alignment horizontal="center" vertical="center"/>
    </xf>
    <xf numFmtId="0" fontId="31" fillId="2" borderId="7" xfId="0" applyFont="1" applyFill="1" applyBorder="1" applyAlignment="1">
      <alignment horizontal="left"/>
    </xf>
    <xf numFmtId="177" fontId="37" fillId="2" borderId="5" xfId="4" applyNumberFormat="1" applyFont="1" applyFill="1" applyBorder="1"/>
    <xf numFmtId="0" fontId="35" fillId="2" borderId="7" xfId="0" applyFont="1" applyFill="1" applyBorder="1" applyAlignment="1">
      <alignment horizontal="center"/>
    </xf>
    <xf numFmtId="177" fontId="28" fillId="2" borderId="5" xfId="4" applyNumberFormat="1" applyFont="1" applyFill="1" applyBorder="1"/>
    <xf numFmtId="0" fontId="31" fillId="2" borderId="7" xfId="0" applyFont="1" applyFill="1" applyBorder="1" applyAlignment="1">
      <alignment horizontal="center"/>
    </xf>
    <xf numFmtId="177" fontId="31" fillId="2" borderId="5" xfId="4" applyNumberFormat="1" applyFont="1" applyFill="1" applyBorder="1"/>
    <xf numFmtId="177" fontId="8" fillId="0" borderId="16" xfId="4" applyNumberFormat="1" applyFont="1" applyFill="1" applyBorder="1"/>
    <xf numFmtId="0" fontId="24" fillId="0" borderId="0" xfId="0" applyFont="1" applyFill="1" applyBorder="1" applyAlignment="1"/>
    <xf numFmtId="0" fontId="49" fillId="0" borderId="6" xfId="0" applyFont="1" applyFill="1" applyBorder="1"/>
    <xf numFmtId="0" fontId="32" fillId="0" borderId="0" xfId="0" applyFont="1" applyFill="1" applyAlignment="1">
      <alignment horizontal="center"/>
    </xf>
    <xf numFmtId="177" fontId="31" fillId="0" borderId="0" xfId="4" applyNumberFormat="1" applyFont="1" applyFill="1" applyBorder="1"/>
    <xf numFmtId="0" fontId="33" fillId="0" borderId="6" xfId="0" applyFont="1" applyFill="1" applyBorder="1" applyAlignment="1">
      <alignment horizontal="left"/>
    </xf>
    <xf numFmtId="0" fontId="5" fillId="0" borderId="0" xfId="0" applyFont="1" applyAlignment="1"/>
    <xf numFmtId="0" fontId="5" fillId="0" borderId="5" xfId="0" applyFont="1" applyBorder="1" applyAlignment="1">
      <alignment horizontal="justify" vertical="top"/>
    </xf>
    <xf numFmtId="178" fontId="5" fillId="0" borderId="24" xfId="0" applyNumberFormat="1" applyFont="1" applyBorder="1" applyAlignment="1">
      <alignment horizontal="right" vertical="top"/>
    </xf>
    <xf numFmtId="0" fontId="5" fillId="0" borderId="7" xfId="0" applyFont="1" applyBorder="1" applyAlignment="1">
      <alignment wrapText="1"/>
    </xf>
    <xf numFmtId="0" fontId="5" fillId="0" borderId="13" xfId="0" applyFont="1" applyBorder="1" applyAlignment="1">
      <alignment wrapText="1"/>
    </xf>
    <xf numFmtId="0" fontId="5" fillId="0" borderId="11" xfId="0" applyFont="1" applyBorder="1" applyAlignment="1">
      <alignment wrapText="1"/>
    </xf>
    <xf numFmtId="0" fontId="5" fillId="0" borderId="11" xfId="0" applyFont="1" applyBorder="1" applyAlignment="1">
      <alignment vertical="top" wrapText="1"/>
    </xf>
    <xf numFmtId="0" fontId="5" fillId="0" borderId="0" xfId="0" applyFont="1" applyBorder="1" applyAlignment="1">
      <alignment wrapText="1"/>
    </xf>
    <xf numFmtId="0" fontId="5" fillId="0" borderId="12" xfId="0" applyFont="1" applyBorder="1" applyAlignment="1">
      <alignment wrapText="1"/>
    </xf>
    <xf numFmtId="0" fontId="31" fillId="0" borderId="25" xfId="0" applyFont="1" applyBorder="1" applyAlignment="1">
      <alignment horizontal="center" vertical="center" wrapText="1"/>
    </xf>
    <xf numFmtId="0" fontId="31" fillId="0" borderId="26" xfId="0" applyFont="1" applyBorder="1" applyAlignment="1">
      <alignment horizontal="center" vertical="center" wrapText="1"/>
    </xf>
    <xf numFmtId="2" fontId="5" fillId="0" borderId="7" xfId="0" applyNumberFormat="1" applyFont="1" applyBorder="1" applyAlignment="1">
      <alignment wrapText="1"/>
    </xf>
    <xf numFmtId="0" fontId="31" fillId="0" borderId="21" xfId="0" applyFont="1" applyBorder="1" applyAlignment="1">
      <alignment wrapText="1"/>
    </xf>
    <xf numFmtId="0" fontId="5" fillId="0" borderId="27" xfId="0" applyFont="1" applyBorder="1" applyAlignment="1">
      <alignment wrapText="1"/>
    </xf>
    <xf numFmtId="0" fontId="33" fillId="0" borderId="21" xfId="0" applyFont="1" applyBorder="1" applyAlignment="1">
      <alignment wrapText="1"/>
    </xf>
    <xf numFmtId="0" fontId="33" fillId="0" borderId="22" xfId="0" applyFont="1" applyBorder="1" applyAlignment="1">
      <alignment wrapText="1"/>
    </xf>
    <xf numFmtId="0" fontId="5" fillId="0" borderId="5" xfId="0" applyFont="1" applyBorder="1" applyAlignment="1">
      <alignment wrapText="1"/>
    </xf>
    <xf numFmtId="0" fontId="3" fillId="0" borderId="5" xfId="0" applyFont="1" applyBorder="1" applyAlignment="1">
      <alignment wrapText="1"/>
    </xf>
    <xf numFmtId="0" fontId="5" fillId="0" borderId="17" xfId="0" applyFont="1" applyBorder="1" applyAlignment="1">
      <alignment wrapText="1"/>
    </xf>
    <xf numFmtId="0" fontId="31" fillId="0" borderId="0" xfId="0" applyFont="1" applyBorder="1" applyAlignment="1">
      <alignment horizontal="center" vertical="center" wrapText="1"/>
    </xf>
    <xf numFmtId="0" fontId="31" fillId="0" borderId="28" xfId="0" applyFont="1" applyBorder="1" applyAlignment="1">
      <alignment horizontal="center" vertical="center" wrapText="1"/>
    </xf>
    <xf numFmtId="0" fontId="31" fillId="0" borderId="29" xfId="0" applyFont="1" applyBorder="1" applyAlignment="1">
      <alignment horizontal="center" vertical="center" wrapText="1"/>
    </xf>
    <xf numFmtId="0" fontId="53" fillId="0" borderId="0" xfId="0" applyFont="1" applyAlignment="1">
      <alignment horizontal="left"/>
    </xf>
    <xf numFmtId="0" fontId="53" fillId="0" borderId="0" xfId="0" applyFont="1" applyAlignment="1">
      <alignment horizontal="left" indent="6"/>
    </xf>
    <xf numFmtId="0" fontId="0" fillId="0" borderId="0" xfId="0" applyAlignment="1">
      <alignment horizontal="left" indent="6"/>
    </xf>
    <xf numFmtId="177" fontId="5" fillId="0" borderId="5" xfId="4" applyNumberFormat="1" applyFont="1" applyBorder="1" applyAlignment="1">
      <alignment horizontal="justify" vertical="top"/>
    </xf>
    <xf numFmtId="177" fontId="5" fillId="0" borderId="5" xfId="4" applyNumberFormat="1" applyFont="1" applyBorder="1" applyAlignment="1">
      <alignment horizontal="center" wrapText="1"/>
    </xf>
    <xf numFmtId="0" fontId="5" fillId="0" borderId="5" xfId="0" applyFont="1" applyBorder="1" applyAlignment="1">
      <alignment horizontal="justify" wrapText="1"/>
    </xf>
    <xf numFmtId="0" fontId="5" fillId="0" borderId="14" xfId="0" applyFont="1" applyBorder="1" applyAlignment="1">
      <alignment wrapText="1"/>
    </xf>
    <xf numFmtId="0" fontId="17" fillId="0" borderId="0" xfId="0" applyFont="1"/>
    <xf numFmtId="0" fontId="5" fillId="0" borderId="25" xfId="0" applyFont="1" applyBorder="1" applyAlignment="1">
      <alignment horizontal="center" vertical="center" wrapText="1"/>
    </xf>
    <xf numFmtId="0" fontId="18" fillId="0" borderId="0" xfId="0" applyFont="1" applyAlignment="1">
      <alignment horizontal="center"/>
    </xf>
    <xf numFmtId="0" fontId="55" fillId="0" borderId="0" xfId="0" applyFont="1" applyAlignment="1">
      <alignment horizontal="center"/>
    </xf>
    <xf numFmtId="9" fontId="32" fillId="0" borderId="0" xfId="6" applyFont="1"/>
    <xf numFmtId="9" fontId="32" fillId="0" borderId="0" xfId="6" applyFont="1" applyAlignment="1">
      <alignment horizontal="center"/>
    </xf>
    <xf numFmtId="177" fontId="56" fillId="0" borderId="16" xfId="4" applyNumberFormat="1" applyFont="1" applyFill="1" applyBorder="1"/>
    <xf numFmtId="177" fontId="56" fillId="0" borderId="20" xfId="4" applyNumberFormat="1" applyFont="1" applyFill="1" applyBorder="1"/>
    <xf numFmtId="177" fontId="31" fillId="0" borderId="0" xfId="0" applyNumberFormat="1" applyFont="1" applyFill="1"/>
    <xf numFmtId="177" fontId="31" fillId="0" borderId="5" xfId="4" applyNumberFormat="1" applyFont="1" applyFill="1" applyBorder="1"/>
    <xf numFmtId="177" fontId="24" fillId="0" borderId="0" xfId="4" applyNumberFormat="1" applyFont="1"/>
    <xf numFmtId="177" fontId="31" fillId="0" borderId="0" xfId="4" applyNumberFormat="1" applyFont="1" applyAlignment="1">
      <alignment horizontal="center"/>
    </xf>
    <xf numFmtId="177" fontId="34" fillId="0" borderId="0" xfId="4" applyNumberFormat="1" applyFont="1" applyAlignment="1">
      <alignment horizontal="center"/>
    </xf>
    <xf numFmtId="177" fontId="37" fillId="0" borderId="0" xfId="4" applyNumberFormat="1" applyFont="1" applyAlignment="1">
      <alignment horizontal="center"/>
    </xf>
    <xf numFmtId="177" fontId="24" fillId="0" borderId="0" xfId="4" applyNumberFormat="1" applyFont="1" applyAlignment="1">
      <alignment horizontal="center"/>
    </xf>
    <xf numFmtId="177" fontId="24" fillId="0" borderId="0" xfId="4" applyNumberFormat="1" applyFont="1" applyBorder="1" applyAlignment="1">
      <alignment horizontal="center"/>
    </xf>
    <xf numFmtId="177" fontId="31" fillId="0" borderId="0" xfId="4" applyNumberFormat="1" applyFont="1"/>
    <xf numFmtId="177" fontId="23" fillId="0" borderId="0" xfId="4" applyNumberFormat="1" applyFont="1" applyBorder="1"/>
    <xf numFmtId="177" fontId="30" fillId="0" borderId="0" xfId="0" applyNumberFormat="1" applyFont="1"/>
    <xf numFmtId="0" fontId="16" fillId="0" borderId="0" xfId="0" applyFont="1"/>
    <xf numFmtId="0" fontId="7" fillId="0" borderId="0" xfId="0" applyFont="1"/>
    <xf numFmtId="10" fontId="5" fillId="0" borderId="0" xfId="6" applyNumberFormat="1" applyFont="1"/>
    <xf numFmtId="177" fontId="5" fillId="0" borderId="7" xfId="0" applyNumberFormat="1" applyFont="1" applyBorder="1" applyAlignment="1">
      <alignment horizontal="right" wrapText="1"/>
    </xf>
    <xf numFmtId="177" fontId="5" fillId="0" borderId="7" xfId="4" applyNumberFormat="1" applyFont="1" applyBorder="1" applyAlignment="1">
      <alignment horizontal="right" wrapText="1"/>
    </xf>
    <xf numFmtId="0" fontId="7" fillId="0" borderId="21" xfId="0" applyFont="1" applyBorder="1" applyAlignment="1">
      <alignment horizontal="justify" vertical="top" wrapText="1"/>
    </xf>
    <xf numFmtId="0" fontId="5" fillId="0" borderId="30" xfId="0" applyFont="1" applyBorder="1" applyAlignment="1">
      <alignment horizontal="justify" vertical="top"/>
    </xf>
    <xf numFmtId="0" fontId="5" fillId="0" borderId="14" xfId="0" applyFont="1" applyBorder="1" applyAlignment="1">
      <alignment horizontal="justify" vertical="top"/>
    </xf>
    <xf numFmtId="178" fontId="5" fillId="0" borderId="17" xfId="0" applyNumberFormat="1" applyFont="1" applyBorder="1" applyAlignment="1">
      <alignment horizontal="right" vertical="top"/>
    </xf>
    <xf numFmtId="0" fontId="5" fillId="0" borderId="18" xfId="0" applyFont="1" applyBorder="1" applyAlignment="1">
      <alignment horizontal="justify" vertical="top"/>
    </xf>
    <xf numFmtId="0" fontId="5" fillId="0" borderId="9" xfId="0" applyFont="1" applyBorder="1" applyAlignment="1">
      <alignment horizontal="center" vertical="center"/>
    </xf>
    <xf numFmtId="0" fontId="5" fillId="0" borderId="31" xfId="0" applyFont="1" applyBorder="1" applyAlignment="1">
      <alignment horizontal="center" vertical="center"/>
    </xf>
    <xf numFmtId="0" fontId="8" fillId="0" borderId="21" xfId="0" applyFont="1" applyBorder="1" applyAlignment="1">
      <alignment horizontal="left"/>
    </xf>
    <xf numFmtId="0" fontId="8" fillId="0" borderId="21" xfId="0" applyFont="1" applyBorder="1" applyAlignment="1">
      <alignment horizontal="left" indent="2"/>
    </xf>
    <xf numFmtId="0" fontId="5" fillId="0" borderId="25" xfId="0" applyFont="1" applyBorder="1" applyAlignment="1">
      <alignment horizontal="center" wrapText="1"/>
    </xf>
    <xf numFmtId="177" fontId="8" fillId="0" borderId="3" xfId="4" applyNumberFormat="1" applyFont="1" applyFill="1" applyBorder="1" applyAlignment="1">
      <alignment horizontal="center" vertical="top"/>
    </xf>
    <xf numFmtId="0" fontId="20" fillId="0" borderId="32" xfId="0" applyFont="1" applyBorder="1" applyAlignment="1">
      <alignment horizontal="left" vertical="center"/>
    </xf>
    <xf numFmtId="0" fontId="22" fillId="0" borderId="0" xfId="0" applyFont="1" applyAlignment="1">
      <alignment horizontal="center" vertical="center"/>
    </xf>
    <xf numFmtId="0" fontId="20" fillId="0" borderId="8" xfId="0" applyFont="1" applyBorder="1" applyAlignment="1">
      <alignment horizontal="left" vertical="center"/>
    </xf>
    <xf numFmtId="0" fontId="0" fillId="0" borderId="23" xfId="0" applyBorder="1"/>
    <xf numFmtId="0" fontId="0" fillId="0" borderId="12" xfId="0" applyBorder="1"/>
    <xf numFmtId="49" fontId="5" fillId="0" borderId="33" xfId="0" applyNumberFormat="1" applyFont="1" applyBorder="1" applyAlignment="1">
      <alignment horizontal="left" vertical="center"/>
    </xf>
    <xf numFmtId="0" fontId="59" fillId="0" borderId="0" xfId="0" applyFont="1" applyAlignment="1">
      <alignment horizontal="center" vertical="center"/>
    </xf>
    <xf numFmtId="0" fontId="31" fillId="0" borderId="24" xfId="0" applyFont="1" applyBorder="1"/>
    <xf numFmtId="0" fontId="31" fillId="0" borderId="5" xfId="0" applyFont="1" applyBorder="1"/>
    <xf numFmtId="0" fontId="33" fillId="0" borderId="5" xfId="0" applyFont="1" applyBorder="1"/>
    <xf numFmtId="177" fontId="5" fillId="0" borderId="3" xfId="4" applyNumberFormat="1" applyFont="1" applyBorder="1"/>
    <xf numFmtId="0" fontId="24" fillId="0" borderId="21" xfId="0" applyFont="1" applyFill="1" applyBorder="1"/>
    <xf numFmtId="0" fontId="24" fillId="0" borderId="18" xfId="0" applyFont="1" applyBorder="1"/>
    <xf numFmtId="177" fontId="28" fillId="0" borderId="5" xfId="4" applyNumberFormat="1" applyFont="1" applyFill="1" applyBorder="1"/>
    <xf numFmtId="49" fontId="40" fillId="0" borderId="6" xfId="4" applyNumberFormat="1" applyFont="1" applyFill="1" applyBorder="1" applyAlignment="1">
      <alignment horizontal="center"/>
    </xf>
    <xf numFmtId="0" fontId="31" fillId="0" borderId="8" xfId="0" applyFont="1" applyFill="1" applyBorder="1"/>
    <xf numFmtId="0" fontId="31" fillId="0" borderId="7" xfId="0" applyFont="1" applyFill="1" applyBorder="1"/>
    <xf numFmtId="0" fontId="31" fillId="0" borderId="5" xfId="0" applyFont="1" applyFill="1" applyBorder="1"/>
    <xf numFmtId="0" fontId="31" fillId="0" borderId="7" xfId="0" applyFont="1" applyFill="1" applyBorder="1" applyAlignment="1">
      <alignment horizontal="left"/>
    </xf>
    <xf numFmtId="0" fontId="31" fillId="0" borderId="5" xfId="0" applyFont="1" applyFill="1" applyBorder="1" applyAlignment="1">
      <alignment horizontal="left"/>
    </xf>
    <xf numFmtId="41" fontId="31" fillId="0" borderId="5" xfId="4" applyNumberFormat="1" applyFont="1" applyFill="1" applyBorder="1"/>
    <xf numFmtId="177" fontId="5" fillId="0" borderId="5" xfId="4" applyNumberFormat="1" applyFont="1" applyFill="1" applyBorder="1"/>
    <xf numFmtId="177" fontId="31" fillId="0" borderId="21" xfId="4" applyNumberFormat="1" applyFont="1" applyFill="1" applyBorder="1"/>
    <xf numFmtId="177" fontId="31" fillId="0" borderId="11" xfId="4" applyNumberFormat="1" applyFont="1" applyFill="1" applyBorder="1"/>
    <xf numFmtId="0" fontId="32" fillId="0" borderId="7" xfId="0" applyFont="1" applyFill="1" applyBorder="1"/>
    <xf numFmtId="0" fontId="24" fillId="0" borderId="11" xfId="0" applyFont="1" applyFill="1" applyBorder="1" applyAlignment="1">
      <alignment horizontal="left"/>
    </xf>
    <xf numFmtId="0" fontId="31" fillId="0" borderId="0" xfId="0" applyFont="1" applyBorder="1" applyAlignment="1">
      <alignment horizontal="center"/>
    </xf>
    <xf numFmtId="0" fontId="5" fillId="0" borderId="21" xfId="0" applyFont="1" applyBorder="1" applyAlignment="1">
      <alignment vertical="top" wrapText="1"/>
    </xf>
    <xf numFmtId="0" fontId="28" fillId="0" borderId="21" xfId="0" applyFont="1" applyBorder="1" applyAlignment="1">
      <alignment horizontal="left"/>
    </xf>
    <xf numFmtId="0" fontId="24" fillId="0" borderId="14" xfId="0" applyFont="1" applyBorder="1"/>
    <xf numFmtId="0" fontId="28" fillId="0" borderId="21" xfId="0" applyFont="1" applyFill="1" applyBorder="1"/>
    <xf numFmtId="0" fontId="25" fillId="0" borderId="14" xfId="0" applyFont="1" applyBorder="1"/>
    <xf numFmtId="0" fontId="24" fillId="0" borderId="22" xfId="0" applyFont="1" applyFill="1" applyBorder="1"/>
    <xf numFmtId="41" fontId="24" fillId="0" borderId="35" xfId="0" applyNumberFormat="1" applyFont="1" applyFill="1" applyBorder="1"/>
    <xf numFmtId="0" fontId="24" fillId="2" borderId="14" xfId="0" applyFont="1" applyFill="1" applyBorder="1" applyAlignment="1">
      <alignment wrapText="1"/>
    </xf>
    <xf numFmtId="0" fontId="31" fillId="2" borderId="8" xfId="0" applyFont="1" applyFill="1" applyBorder="1"/>
    <xf numFmtId="0" fontId="24" fillId="2" borderId="14" xfId="0" applyFont="1" applyFill="1" applyBorder="1" applyAlignment="1">
      <alignment horizontal="left"/>
    </xf>
    <xf numFmtId="0" fontId="24" fillId="2" borderId="14" xfId="0" applyFont="1" applyFill="1" applyBorder="1" applyAlignment="1"/>
    <xf numFmtId="0" fontId="24" fillId="2" borderId="14" xfId="0" applyFont="1" applyFill="1" applyBorder="1"/>
    <xf numFmtId="0" fontId="31" fillId="2" borderId="8" xfId="0" applyFont="1" applyFill="1" applyBorder="1" applyAlignment="1">
      <alignment horizontal="left" vertical="top"/>
    </xf>
    <xf numFmtId="0" fontId="24" fillId="2" borderId="8" xfId="0" applyFont="1" applyFill="1" applyBorder="1"/>
    <xf numFmtId="0" fontId="39" fillId="2" borderId="8" xfId="0" applyFont="1" applyFill="1" applyBorder="1"/>
    <xf numFmtId="0" fontId="41" fillId="2" borderId="14" xfId="0" applyFont="1" applyFill="1" applyBorder="1"/>
    <xf numFmtId="0" fontId="47" fillId="2" borderId="14" xfId="0" applyFont="1" applyFill="1" applyBorder="1"/>
    <xf numFmtId="0" fontId="39" fillId="2" borderId="23" xfId="0" applyFont="1" applyFill="1" applyBorder="1"/>
    <xf numFmtId="0" fontId="39" fillId="2" borderId="27" xfId="0" applyFont="1" applyFill="1" applyBorder="1"/>
    <xf numFmtId="0" fontId="39" fillId="2" borderId="17" xfId="0" applyFont="1" applyFill="1" applyBorder="1"/>
    <xf numFmtId="0" fontId="41" fillId="2" borderId="18" xfId="0" applyFont="1" applyFill="1" applyBorder="1"/>
    <xf numFmtId="0" fontId="24" fillId="0" borderId="8" xfId="0" applyFont="1" applyBorder="1"/>
    <xf numFmtId="0" fontId="27" fillId="0" borderId="14" xfId="0" applyFont="1" applyBorder="1"/>
    <xf numFmtId="0" fontId="23" fillId="0" borderId="23" xfId="0" applyFont="1" applyBorder="1"/>
    <xf numFmtId="0" fontId="23" fillId="0" borderId="27" xfId="0" applyFont="1" applyBorder="1"/>
    <xf numFmtId="177" fontId="23" fillId="0" borderId="17" xfId="4" applyNumberFormat="1" applyFont="1" applyBorder="1"/>
    <xf numFmtId="0" fontId="23" fillId="0" borderId="18" xfId="0" applyFont="1" applyBorder="1"/>
    <xf numFmtId="0" fontId="31" fillId="0" borderId="14" xfId="0" applyFont="1" applyBorder="1" applyAlignment="1">
      <alignment wrapText="1"/>
    </xf>
    <xf numFmtId="0" fontId="31" fillId="0" borderId="0" xfId="0" applyFont="1" applyFill="1" applyBorder="1"/>
    <xf numFmtId="0" fontId="31" fillId="2" borderId="8" xfId="0" applyFont="1" applyFill="1" applyBorder="1" applyAlignment="1">
      <alignment horizontal="left"/>
    </xf>
    <xf numFmtId="0" fontId="31" fillId="2" borderId="14" xfId="0" applyFont="1" applyFill="1" applyBorder="1" applyAlignment="1">
      <alignment horizontal="center"/>
    </xf>
    <xf numFmtId="0" fontId="23" fillId="2" borderId="0" xfId="0" applyFont="1" applyFill="1" applyAlignment="1"/>
    <xf numFmtId="177" fontId="31" fillId="0" borderId="5" xfId="4" applyNumberFormat="1" applyFont="1" applyFill="1" applyBorder="1" applyAlignment="1"/>
    <xf numFmtId="0" fontId="31" fillId="2" borderId="0" xfId="0" applyFont="1" applyFill="1" applyAlignment="1"/>
    <xf numFmtId="0" fontId="31" fillId="2" borderId="7" xfId="0" applyFont="1" applyFill="1" applyBorder="1" applyAlignment="1">
      <alignment horizontal="center" wrapText="1"/>
    </xf>
    <xf numFmtId="0" fontId="5" fillId="0" borderId="14" xfId="0" applyFont="1" applyBorder="1" applyAlignment="1">
      <alignment horizontal="left" wrapText="1"/>
    </xf>
    <xf numFmtId="177" fontId="31" fillId="2" borderId="5" xfId="4" applyNumberFormat="1" applyFont="1" applyFill="1" applyBorder="1" applyAlignment="1"/>
    <xf numFmtId="0" fontId="31" fillId="2" borderId="5" xfId="0" applyFont="1" applyFill="1" applyBorder="1" applyAlignment="1"/>
    <xf numFmtId="0" fontId="31" fillId="2" borderId="8" xfId="0" applyFont="1" applyFill="1" applyBorder="1" applyAlignment="1"/>
    <xf numFmtId="0" fontId="5" fillId="2" borderId="8" xfId="0" applyFont="1" applyFill="1" applyBorder="1" applyAlignment="1">
      <alignment horizontal="left"/>
    </xf>
    <xf numFmtId="0" fontId="31" fillId="0" borderId="8" xfId="0" applyFont="1" applyBorder="1" applyAlignment="1"/>
    <xf numFmtId="177" fontId="31" fillId="0" borderId="7" xfId="4" applyNumberFormat="1" applyFont="1" applyBorder="1" applyAlignment="1"/>
    <xf numFmtId="177" fontId="31" fillId="0" borderId="5" xfId="4" applyNumberFormat="1" applyFont="1" applyBorder="1" applyAlignment="1"/>
    <xf numFmtId="0" fontId="31" fillId="0" borderId="14" xfId="0" applyFont="1" applyBorder="1" applyAlignment="1"/>
    <xf numFmtId="41" fontId="31" fillId="0" borderId="5" xfId="4" applyNumberFormat="1" applyFont="1" applyFill="1" applyBorder="1" applyAlignment="1"/>
    <xf numFmtId="177" fontId="31" fillId="0" borderId="14" xfId="4" applyNumberFormat="1" applyFont="1" applyFill="1" applyBorder="1" applyAlignment="1"/>
    <xf numFmtId="41" fontId="31" fillId="0" borderId="5" xfId="0" applyNumberFormat="1" applyFont="1" applyBorder="1"/>
    <xf numFmtId="0" fontId="5" fillId="0" borderId="0" xfId="0" applyFont="1" applyBorder="1" applyAlignment="1">
      <alignment horizontal="center"/>
    </xf>
    <xf numFmtId="0" fontId="5" fillId="0" borderId="0" xfId="0" applyFont="1" applyBorder="1" applyAlignment="1">
      <alignment horizontal="center" vertical="top"/>
    </xf>
    <xf numFmtId="0" fontId="5" fillId="0" borderId="0" xfId="0" applyFont="1" applyBorder="1" applyAlignment="1">
      <alignment horizontal="center" vertical="top" wrapText="1"/>
    </xf>
    <xf numFmtId="177" fontId="5" fillId="0" borderId="5" xfId="4" applyNumberFormat="1" applyFont="1" applyBorder="1" applyAlignment="1"/>
    <xf numFmtId="0" fontId="6" fillId="0" borderId="21" xfId="0" applyFont="1" applyBorder="1" applyAlignment="1">
      <alignment horizontal="left"/>
    </xf>
    <xf numFmtId="0" fontId="48" fillId="0" borderId="5" xfId="0" applyFont="1" applyFill="1" applyBorder="1"/>
    <xf numFmtId="0" fontId="5" fillId="0" borderId="5" xfId="0" applyFont="1" applyBorder="1" applyAlignment="1">
      <alignment vertical="top" wrapText="1"/>
    </xf>
    <xf numFmtId="0" fontId="3" fillId="0" borderId="5" xfId="0" applyFont="1" applyBorder="1" applyAlignment="1">
      <alignment vertical="top" wrapText="1"/>
    </xf>
    <xf numFmtId="177" fontId="5" fillId="0" borderId="5" xfId="4" applyNumberFormat="1" applyFont="1" applyBorder="1" applyAlignment="1">
      <alignment vertical="top" wrapText="1"/>
    </xf>
    <xf numFmtId="0" fontId="31" fillId="0" borderId="0" xfId="0" applyFont="1" applyBorder="1" applyAlignment="1"/>
    <xf numFmtId="0" fontId="28" fillId="0" borderId="0" xfId="0" applyFont="1" applyBorder="1" applyAlignment="1">
      <alignment horizontal="center" vertical="center"/>
    </xf>
    <xf numFmtId="0" fontId="31" fillId="0" borderId="0" xfId="0" applyFont="1" applyBorder="1" applyAlignment="1">
      <alignment horizontal="center" vertical="center"/>
    </xf>
    <xf numFmtId="0" fontId="37" fillId="0" borderId="0" xfId="0" applyFont="1"/>
    <xf numFmtId="0" fontId="13" fillId="0" borderId="0" xfId="0" applyFont="1"/>
    <xf numFmtId="41" fontId="5" fillId="0" borderId="21" xfId="5" applyFont="1" applyFill="1" applyBorder="1"/>
    <xf numFmtId="41" fontId="31" fillId="0" borderId="0" xfId="0" applyNumberFormat="1" applyFont="1" applyAlignment="1">
      <alignment horizontal="center"/>
    </xf>
    <xf numFmtId="0" fontId="31" fillId="0" borderId="21" xfId="0" applyFont="1" applyFill="1" applyBorder="1" applyAlignment="1">
      <alignment horizontal="left"/>
    </xf>
    <xf numFmtId="41" fontId="31" fillId="0" borderId="6" xfId="4" applyNumberFormat="1" applyFont="1" applyFill="1" applyBorder="1"/>
    <xf numFmtId="0" fontId="31" fillId="0" borderId="14" xfId="0" applyFont="1" applyBorder="1"/>
    <xf numFmtId="0" fontId="31" fillId="0" borderId="21" xfId="0" applyFont="1" applyFill="1" applyBorder="1" applyAlignment="1"/>
    <xf numFmtId="0" fontId="28" fillId="0" borderId="21" xfId="0" applyFont="1" applyFill="1" applyBorder="1" applyAlignment="1">
      <alignment horizontal="left"/>
    </xf>
    <xf numFmtId="0" fontId="31" fillId="0" borderId="21" xfId="0" applyFont="1" applyFill="1" applyBorder="1"/>
    <xf numFmtId="0" fontId="31" fillId="0" borderId="21" xfId="0" applyFont="1" applyBorder="1"/>
    <xf numFmtId="41" fontId="31" fillId="0" borderId="6" xfId="0" applyNumberFormat="1" applyFont="1" applyBorder="1"/>
    <xf numFmtId="0" fontId="28" fillId="0" borderId="21" xfId="0" applyFont="1" applyBorder="1"/>
    <xf numFmtId="0" fontId="31" fillId="2" borderId="0" xfId="0" applyFont="1" applyFill="1" applyAlignment="1">
      <alignment horizontal="center"/>
    </xf>
    <xf numFmtId="0" fontId="31" fillId="2" borderId="0" xfId="0" applyFont="1" applyFill="1" applyAlignment="1">
      <alignment horizontal="right"/>
    </xf>
    <xf numFmtId="0" fontId="31" fillId="2" borderId="4" xfId="0" applyFont="1" applyFill="1" applyBorder="1" applyAlignment="1">
      <alignment horizontal="center" vertical="center" wrapText="1"/>
    </xf>
    <xf numFmtId="0" fontId="28" fillId="2" borderId="8" xfId="0" applyFont="1" applyFill="1" applyBorder="1" applyAlignment="1">
      <alignment horizontal="left"/>
    </xf>
    <xf numFmtId="0" fontId="28" fillId="0" borderId="8" xfId="0" applyFont="1" applyBorder="1" applyAlignment="1"/>
    <xf numFmtId="0" fontId="23" fillId="0" borderId="3" xfId="0" applyFont="1" applyBorder="1" applyAlignment="1">
      <alignment horizontal="center" vertical="center"/>
    </xf>
    <xf numFmtId="0" fontId="23" fillId="0" borderId="3" xfId="0" applyFont="1" applyBorder="1" applyAlignment="1">
      <alignment horizontal="center" vertical="center" wrapText="1"/>
    </xf>
    <xf numFmtId="0" fontId="31" fillId="0" borderId="39" xfId="0" applyFont="1" applyBorder="1" applyAlignment="1">
      <alignment horizontal="center" vertical="center"/>
    </xf>
    <xf numFmtId="0" fontId="36" fillId="0" borderId="0" xfId="0" applyFont="1"/>
    <xf numFmtId="2" fontId="5" fillId="0" borderId="11" xfId="0" applyNumberFormat="1" applyFont="1" applyBorder="1" applyAlignment="1">
      <alignment wrapText="1"/>
    </xf>
    <xf numFmtId="0" fontId="5" fillId="0" borderId="9" xfId="0" applyFont="1" applyBorder="1" applyAlignment="1">
      <alignment horizontal="distributed" vertical="center" wrapText="1"/>
    </xf>
    <xf numFmtId="0" fontId="5" fillId="0" borderId="40" xfId="0" applyFont="1" applyBorder="1" applyAlignment="1">
      <alignment horizontal="center" vertical="center" wrapText="1"/>
    </xf>
    <xf numFmtId="0" fontId="5" fillId="0" borderId="41" xfId="0" applyFont="1" applyBorder="1" applyAlignment="1">
      <alignment horizontal="distributed" vertical="center" wrapText="1"/>
    </xf>
    <xf numFmtId="0" fontId="5" fillId="0" borderId="21" xfId="0" applyFont="1" applyBorder="1" applyAlignment="1">
      <alignment horizontal="justify" vertical="top" wrapText="1"/>
    </xf>
    <xf numFmtId="0" fontId="5" fillId="0" borderId="22" xfId="0" applyFont="1" applyBorder="1" applyAlignment="1">
      <alignment horizontal="justify" vertical="top" wrapText="1"/>
    </xf>
    <xf numFmtId="0" fontId="5" fillId="0" borderId="21" xfId="0" applyFont="1" applyBorder="1" applyAlignment="1">
      <alignment horizontal="left" vertical="top"/>
    </xf>
    <xf numFmtId="0" fontId="5" fillId="0" borderId="21" xfId="0" applyFont="1" applyBorder="1" applyAlignment="1">
      <alignment horizontal="left" vertical="top" wrapText="1"/>
    </xf>
    <xf numFmtId="0" fontId="12" fillId="0" borderId="21" xfId="0" applyFont="1" applyBorder="1" applyAlignment="1">
      <alignment horizontal="left"/>
    </xf>
    <xf numFmtId="0" fontId="5" fillId="0" borderId="21" xfId="0" applyFont="1" applyBorder="1" applyAlignment="1">
      <alignment horizontal="left" indent="2"/>
    </xf>
    <xf numFmtId="0" fontId="5" fillId="0" borderId="31" xfId="0" applyFont="1" applyBorder="1" applyAlignment="1">
      <alignment horizontal="center" vertical="center" wrapText="1" shrinkToFit="1"/>
    </xf>
    <xf numFmtId="0" fontId="5" fillId="0" borderId="10" xfId="0" applyFont="1" applyBorder="1" applyAlignment="1">
      <alignment horizontal="distributed" vertical="center"/>
    </xf>
    <xf numFmtId="0" fontId="5" fillId="0" borderId="8" xfId="0" applyFont="1" applyBorder="1" applyAlignment="1">
      <alignment vertical="top" wrapText="1"/>
    </xf>
    <xf numFmtId="0" fontId="33" fillId="0" borderId="0" xfId="0" applyFont="1" applyBorder="1"/>
    <xf numFmtId="0" fontId="7" fillId="0" borderId="0" xfId="0" applyFont="1" applyAlignment="1">
      <alignment horizontal="center" vertical="center"/>
    </xf>
    <xf numFmtId="0" fontId="31" fillId="0" borderId="0" xfId="0" applyFont="1" applyBorder="1" applyAlignment="1">
      <alignment horizontal="left" vertical="top"/>
    </xf>
    <xf numFmtId="0" fontId="16" fillId="0" borderId="0" xfId="0" applyFont="1" applyAlignment="1">
      <alignment horizontal="center" vertical="center"/>
    </xf>
    <xf numFmtId="0" fontId="17" fillId="0" borderId="0" xfId="0" applyFont="1" applyAlignment="1">
      <alignment horizontal="center" vertical="center"/>
    </xf>
    <xf numFmtId="0" fontId="5" fillId="0" borderId="12" xfId="0" applyFont="1" applyBorder="1" applyAlignment="1">
      <alignment horizontal="center" vertical="center"/>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41" fontId="5" fillId="0" borderId="7" xfId="0" applyNumberFormat="1" applyFont="1" applyBorder="1" applyAlignment="1">
      <alignment vertical="top" wrapText="1"/>
    </xf>
    <xf numFmtId="178" fontId="5" fillId="0" borderId="7" xfId="4" applyNumberFormat="1" applyFont="1" applyBorder="1" applyAlignment="1">
      <alignment horizontal="right" wrapText="1"/>
    </xf>
    <xf numFmtId="178" fontId="5" fillId="0" borderId="7" xfId="0" applyNumberFormat="1" applyFont="1" applyBorder="1" applyAlignment="1">
      <alignment wrapText="1"/>
    </xf>
    <xf numFmtId="178" fontId="5" fillId="0" borderId="7" xfId="0" applyNumberFormat="1" applyFont="1" applyBorder="1" applyAlignment="1">
      <alignment vertical="top" wrapText="1"/>
    </xf>
    <xf numFmtId="183" fontId="5" fillId="0" borderId="7" xfId="0" applyNumberFormat="1" applyFont="1" applyBorder="1" applyAlignment="1">
      <alignment wrapText="1"/>
    </xf>
    <xf numFmtId="183" fontId="5" fillId="0" borderId="7" xfId="0" applyNumberFormat="1" applyFont="1" applyBorder="1" applyAlignment="1">
      <alignment vertical="top" wrapText="1"/>
    </xf>
    <xf numFmtId="183" fontId="5" fillId="0" borderId="14" xfId="0" applyNumberFormat="1" applyFont="1" applyBorder="1" applyAlignment="1">
      <alignment wrapText="1"/>
    </xf>
    <xf numFmtId="183" fontId="5" fillId="0" borderId="14" xfId="0" applyNumberFormat="1" applyFont="1" applyBorder="1" applyAlignment="1">
      <alignment vertical="top" wrapText="1"/>
    </xf>
    <xf numFmtId="183" fontId="5" fillId="0" borderId="11" xfId="0" applyNumberFormat="1" applyFont="1" applyBorder="1" applyAlignment="1">
      <alignment vertical="top" wrapText="1"/>
    </xf>
    <xf numFmtId="0" fontId="23" fillId="0" borderId="25" xfId="0" applyFont="1" applyBorder="1" applyAlignment="1">
      <alignment horizontal="center" vertical="center" wrapText="1"/>
    </xf>
    <xf numFmtId="49" fontId="5" fillId="0" borderId="21" xfId="0" applyNumberFormat="1" applyFont="1" applyBorder="1" applyAlignment="1">
      <alignment horizontal="left" vertical="center"/>
    </xf>
    <xf numFmtId="49" fontId="5" fillId="0" borderId="5" xfId="0" applyNumberFormat="1" applyFont="1" applyBorder="1" applyAlignment="1">
      <alignment horizontal="center" vertical="center"/>
    </xf>
    <xf numFmtId="177" fontId="3" fillId="0" borderId="5" xfId="4" applyNumberFormat="1" applyFont="1" applyBorder="1" applyAlignment="1"/>
    <xf numFmtId="177" fontId="3" fillId="2" borderId="5" xfId="4" applyNumberFormat="1" applyFont="1" applyFill="1" applyBorder="1" applyAlignment="1"/>
    <xf numFmtId="0" fontId="12" fillId="0" borderId="21" xfId="0" applyFont="1" applyBorder="1" applyAlignment="1">
      <alignment horizontal="left" vertical="top"/>
    </xf>
    <xf numFmtId="177" fontId="5" fillId="0" borderId="5" xfId="4" applyNumberFormat="1" applyFont="1" applyBorder="1" applyAlignment="1">
      <alignment vertical="top"/>
    </xf>
    <xf numFmtId="0" fontId="5" fillId="0" borderId="14" xfId="0" applyFont="1" applyBorder="1" applyAlignment="1">
      <alignment vertical="top"/>
    </xf>
    <xf numFmtId="0" fontId="12" fillId="0" borderId="37" xfId="0" applyFont="1" applyBorder="1" applyAlignment="1">
      <alignment horizontal="left" vertical="top"/>
    </xf>
    <xf numFmtId="177" fontId="5" fillId="2" borderId="5" xfId="4" applyNumberFormat="1" applyFont="1" applyFill="1" applyBorder="1" applyAlignment="1">
      <alignment vertical="top"/>
    </xf>
    <xf numFmtId="0" fontId="5" fillId="0" borderId="21" xfId="0" applyFont="1" applyFill="1" applyBorder="1" applyAlignment="1">
      <alignment horizontal="left" vertical="top"/>
    </xf>
    <xf numFmtId="0" fontId="65" fillId="0" borderId="5" xfId="0" applyFont="1" applyFill="1" applyBorder="1"/>
    <xf numFmtId="177" fontId="31" fillId="0" borderId="17" xfId="4" applyNumberFormat="1" applyFont="1" applyFill="1" applyBorder="1"/>
    <xf numFmtId="177" fontId="28" fillId="0" borderId="17" xfId="0" applyNumberFormat="1" applyFont="1" applyBorder="1"/>
    <xf numFmtId="0" fontId="72" fillId="0" borderId="11" xfId="0" applyFont="1" applyBorder="1"/>
    <xf numFmtId="0" fontId="72" fillId="0" borderId="11" xfId="0" applyFont="1" applyBorder="1" applyAlignment="1">
      <alignment horizontal="left"/>
    </xf>
    <xf numFmtId="176" fontId="11" fillId="0" borderId="24" xfId="0" applyNumberFormat="1" applyFont="1" applyFill="1" applyBorder="1"/>
    <xf numFmtId="0" fontId="12" fillId="0" borderId="24" xfId="0" applyFont="1" applyFill="1" applyBorder="1"/>
    <xf numFmtId="177" fontId="11" fillId="0" borderId="24" xfId="4" applyNumberFormat="1" applyFont="1" applyFill="1" applyBorder="1"/>
    <xf numFmtId="176" fontId="9" fillId="0" borderId="5" xfId="0" applyNumberFormat="1" applyFont="1" applyFill="1" applyBorder="1"/>
    <xf numFmtId="0" fontId="3" fillId="0" borderId="5" xfId="0" applyFont="1" applyFill="1" applyBorder="1"/>
    <xf numFmtId="177" fontId="9" fillId="0" borderId="5" xfId="4" applyNumberFormat="1" applyFont="1" applyFill="1" applyBorder="1"/>
    <xf numFmtId="41" fontId="9" fillId="0" borderId="5" xfId="0" applyNumberFormat="1" applyFont="1" applyFill="1" applyBorder="1"/>
    <xf numFmtId="0" fontId="3" fillId="0" borderId="6" xfId="0" applyFont="1" applyFill="1" applyBorder="1"/>
    <xf numFmtId="176" fontId="11" fillId="0" borderId="5" xfId="0" applyNumberFormat="1" applyFont="1" applyFill="1" applyBorder="1"/>
    <xf numFmtId="0" fontId="12" fillId="0" borderId="5" xfId="0" applyFont="1" applyFill="1" applyBorder="1"/>
    <xf numFmtId="177" fontId="11" fillId="0" borderId="5" xfId="4" applyNumberFormat="1" applyFont="1" applyFill="1" applyBorder="1"/>
    <xf numFmtId="178" fontId="11" fillId="0" borderId="5" xfId="4" applyNumberFormat="1" applyFont="1" applyFill="1" applyBorder="1"/>
    <xf numFmtId="0" fontId="5" fillId="0" borderId="5" xfId="0" applyFont="1" applyFill="1" applyBorder="1"/>
    <xf numFmtId="0" fontId="5" fillId="0" borderId="44" xfId="0" applyFont="1" applyBorder="1" applyAlignment="1">
      <alignment horizontal="center" vertical="center" wrapText="1"/>
    </xf>
    <xf numFmtId="0" fontId="5" fillId="0" borderId="21" xfId="0" applyFont="1" applyBorder="1" applyAlignment="1">
      <alignment horizontal="left" wrapText="1" indent="1"/>
    </xf>
    <xf numFmtId="0" fontId="31" fillId="0" borderId="21" xfId="0" applyFont="1" applyBorder="1" applyAlignment="1">
      <alignment horizontal="center" vertical="center" wrapText="1"/>
    </xf>
    <xf numFmtId="0" fontId="31" fillId="0" borderId="30" xfId="0" applyFont="1" applyBorder="1" applyAlignment="1">
      <alignment horizontal="center" vertical="center" wrapText="1"/>
    </xf>
    <xf numFmtId="0" fontId="7" fillId="0" borderId="8" xfId="0" applyFont="1" applyBorder="1" applyAlignment="1"/>
    <xf numFmtId="0" fontId="7" fillId="0" borderId="8" xfId="0" applyFont="1" applyBorder="1"/>
    <xf numFmtId="0" fontId="78" fillId="0" borderId="8" xfId="0" applyFont="1" applyBorder="1"/>
    <xf numFmtId="0" fontId="7" fillId="0" borderId="8" xfId="0" applyFont="1" applyBorder="1" applyAlignment="1">
      <alignment horizontal="left"/>
    </xf>
    <xf numFmtId="0" fontId="31" fillId="0" borderId="11" xfId="0" applyFont="1" applyBorder="1" applyAlignment="1"/>
    <xf numFmtId="41" fontId="11" fillId="0" borderId="24" xfId="0" applyNumberFormat="1" applyFont="1" applyFill="1" applyBorder="1"/>
    <xf numFmtId="41" fontId="11" fillId="0" borderId="5" xfId="0" applyNumberFormat="1" applyFont="1" applyFill="1" applyBorder="1"/>
    <xf numFmtId="43" fontId="11" fillId="0" borderId="30" xfId="0" applyNumberFormat="1" applyFont="1" applyFill="1" applyBorder="1"/>
    <xf numFmtId="43" fontId="9" fillId="0" borderId="14" xfId="0" applyNumberFormat="1" applyFont="1" applyFill="1" applyBorder="1"/>
    <xf numFmtId="43" fontId="11" fillId="0" borderId="14" xfId="0" applyNumberFormat="1" applyFont="1" applyFill="1" applyBorder="1"/>
    <xf numFmtId="177" fontId="28" fillId="0" borderId="5" xfId="4" applyNumberFormat="1" applyFont="1" applyFill="1" applyBorder="1" applyAlignment="1"/>
    <xf numFmtId="177" fontId="24" fillId="0" borderId="11" xfId="4" applyNumberFormat="1" applyFont="1" applyFill="1" applyBorder="1" applyAlignment="1"/>
    <xf numFmtId="0" fontId="24" fillId="0" borderId="0" xfId="0" applyFont="1" applyAlignment="1"/>
    <xf numFmtId="0" fontId="31" fillId="0" borderId="7" xfId="0" applyFont="1" applyFill="1" applyBorder="1" applyAlignment="1"/>
    <xf numFmtId="0" fontId="31" fillId="0" borderId="5" xfId="0" applyFont="1" applyFill="1" applyBorder="1" applyAlignment="1"/>
    <xf numFmtId="0" fontId="33" fillId="0" borderId="8" xfId="0" applyFont="1" applyFill="1" applyBorder="1" applyAlignment="1"/>
    <xf numFmtId="0" fontId="30" fillId="0" borderId="0" xfId="0" applyFont="1" applyAlignment="1"/>
    <xf numFmtId="0" fontId="28" fillId="0" borderId="7" xfId="0" applyFont="1" applyFill="1" applyBorder="1" applyAlignment="1"/>
    <xf numFmtId="177" fontId="5" fillId="0" borderId="5" xfId="4" applyNumberFormat="1" applyFont="1" applyFill="1" applyBorder="1" applyAlignment="1"/>
    <xf numFmtId="177" fontId="9" fillId="0" borderId="6" xfId="4" applyNumberFormat="1" applyFont="1" applyFill="1" applyBorder="1" applyAlignment="1"/>
    <xf numFmtId="0" fontId="63" fillId="0" borderId="17" xfId="0" applyFont="1" applyFill="1" applyBorder="1" applyAlignment="1">
      <alignment horizontal="center" vertical="center"/>
    </xf>
    <xf numFmtId="0" fontId="32" fillId="0" borderId="0" xfId="0" applyFont="1" applyAlignment="1">
      <alignment vertical="center"/>
    </xf>
    <xf numFmtId="177" fontId="31" fillId="0" borderId="11" xfId="4" applyNumberFormat="1" applyFont="1" applyFill="1" applyBorder="1" applyAlignment="1"/>
    <xf numFmtId="177" fontId="24" fillId="0" borderId="16" xfId="4" applyNumberFormat="1" applyFont="1" applyFill="1" applyBorder="1" applyAlignment="1"/>
    <xf numFmtId="0" fontId="32" fillId="0" borderId="0" xfId="0" applyFont="1" applyAlignment="1"/>
    <xf numFmtId="177" fontId="31" fillId="0" borderId="21" xfId="4" applyNumberFormat="1" applyFont="1" applyFill="1" applyBorder="1" applyAlignment="1"/>
    <xf numFmtId="0" fontId="33" fillId="0" borderId="6" xfId="0" applyFont="1" applyFill="1" applyBorder="1" applyAlignment="1"/>
    <xf numFmtId="0" fontId="32" fillId="0" borderId="7" xfId="0" applyFont="1" applyFill="1" applyBorder="1" applyAlignment="1"/>
    <xf numFmtId="0" fontId="32" fillId="0" borderId="20" xfId="0" applyFont="1" applyBorder="1" applyAlignment="1"/>
    <xf numFmtId="0" fontId="5" fillId="0" borderId="4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0" xfId="0" applyFont="1" applyAlignment="1">
      <alignment vertical="center"/>
    </xf>
    <xf numFmtId="0" fontId="0" fillId="0" borderId="7" xfId="0" applyBorder="1" applyAlignment="1">
      <alignment horizontal="center" vertical="center" wrapText="1"/>
    </xf>
    <xf numFmtId="0" fontId="23" fillId="0" borderId="7" xfId="0" applyFont="1" applyBorder="1" applyAlignment="1">
      <alignment horizontal="justify" vertical="center" wrapText="1"/>
    </xf>
    <xf numFmtId="0" fontId="24" fillId="0" borderId="7" xfId="0" applyFont="1" applyBorder="1" applyAlignment="1">
      <alignment horizontal="center" vertical="center" wrapText="1"/>
    </xf>
    <xf numFmtId="0" fontId="31" fillId="0" borderId="7" xfId="0" applyFont="1" applyBorder="1" applyAlignment="1">
      <alignment horizontal="center" vertical="center" wrapText="1"/>
    </xf>
    <xf numFmtId="0" fontId="71" fillId="0" borderId="7" xfId="0" applyFont="1" applyBorder="1" applyAlignment="1">
      <alignment horizontal="center" vertical="center" wrapText="1"/>
    </xf>
    <xf numFmtId="0" fontId="23" fillId="0" borderId="7" xfId="0" applyFont="1" applyBorder="1" applyAlignment="1">
      <alignment horizontal="center" vertical="center" wrapText="1"/>
    </xf>
    <xf numFmtId="178" fontId="5" fillId="0" borderId="5" xfId="0" applyNumberFormat="1" applyFont="1" applyBorder="1" applyAlignment="1">
      <alignment vertical="center"/>
    </xf>
    <xf numFmtId="178" fontId="5" fillId="0" borderId="14" xfId="0" applyNumberFormat="1" applyFont="1" applyBorder="1" applyAlignment="1">
      <alignment vertical="center"/>
    </xf>
    <xf numFmtId="0" fontId="5" fillId="0" borderId="21" xfId="0" applyFont="1" applyBorder="1" applyAlignment="1">
      <alignment vertical="center"/>
    </xf>
    <xf numFmtId="0" fontId="5" fillId="0" borderId="5" xfId="0" applyFont="1" applyBorder="1" applyAlignment="1">
      <alignment vertical="center"/>
    </xf>
    <xf numFmtId="0" fontId="3" fillId="0" borderId="21" xfId="0" applyFont="1" applyBorder="1" applyAlignment="1">
      <alignment vertical="center"/>
    </xf>
    <xf numFmtId="0" fontId="9" fillId="0" borderId="40" xfId="0" applyFont="1" applyBorder="1" applyAlignment="1">
      <alignment horizontal="center" vertical="center" wrapText="1"/>
    </xf>
    <xf numFmtId="0" fontId="9" fillId="0" borderId="31" xfId="0" applyFont="1" applyBorder="1" applyAlignment="1">
      <alignment horizontal="center" vertical="center" wrapText="1"/>
    </xf>
    <xf numFmtId="0" fontId="12" fillId="0" borderId="0" xfId="0" applyFont="1"/>
    <xf numFmtId="0" fontId="12" fillId="0" borderId="21" xfId="0" applyFont="1" applyBorder="1" applyAlignment="1">
      <alignment vertical="top" wrapText="1"/>
    </xf>
    <xf numFmtId="177" fontId="12" fillId="0" borderId="5" xfId="4" applyNumberFormat="1" applyFont="1" applyBorder="1" applyAlignment="1">
      <alignment horizontal="center" vertical="top" wrapText="1"/>
    </xf>
    <xf numFmtId="0" fontId="12" fillId="0" borderId="14" xfId="0" applyFont="1" applyBorder="1" applyAlignment="1">
      <alignment vertical="top" wrapText="1"/>
    </xf>
    <xf numFmtId="0" fontId="12" fillId="0" borderId="0" xfId="0" applyFont="1" applyAlignment="1">
      <alignment vertical="top"/>
    </xf>
    <xf numFmtId="0" fontId="12" fillId="0" borderId="22" xfId="0" applyFont="1" applyBorder="1" applyAlignment="1">
      <alignment horizontal="center" vertical="center" wrapText="1"/>
    </xf>
    <xf numFmtId="177" fontId="12" fillId="0" borderId="17" xfId="0" applyNumberFormat="1" applyFont="1" applyBorder="1" applyAlignment="1">
      <alignment vertical="center" wrapText="1"/>
    </xf>
    <xf numFmtId="0" fontId="12" fillId="0" borderId="18" xfId="0" applyFont="1" applyBorder="1" applyAlignment="1">
      <alignment vertical="center" wrapText="1"/>
    </xf>
    <xf numFmtId="0" fontId="12" fillId="0" borderId="0" xfId="0" applyFont="1" applyAlignment="1">
      <alignment vertical="center"/>
    </xf>
    <xf numFmtId="0" fontId="28" fillId="0" borderId="21" xfId="0" applyFont="1" applyBorder="1" applyAlignment="1">
      <alignment vertical="top" wrapText="1"/>
    </xf>
    <xf numFmtId="178" fontId="12" fillId="0" borderId="7" xfId="4" applyNumberFormat="1" applyFont="1" applyBorder="1" applyAlignment="1">
      <alignment horizontal="right" vertical="top" wrapText="1"/>
    </xf>
    <xf numFmtId="178" fontId="12" fillId="0" borderId="7" xfId="4" applyNumberFormat="1" applyFont="1" applyBorder="1" applyAlignment="1">
      <alignment vertical="top" wrapText="1"/>
    </xf>
    <xf numFmtId="178" fontId="12" fillId="0" borderId="7" xfId="0" applyNumberFormat="1" applyFont="1" applyBorder="1" applyAlignment="1">
      <alignment vertical="top" wrapText="1"/>
    </xf>
    <xf numFmtId="183" fontId="12" fillId="0" borderId="7" xfId="0" applyNumberFormat="1" applyFont="1" applyBorder="1" applyAlignment="1">
      <alignment vertical="top" wrapText="1"/>
    </xf>
    <xf numFmtId="41" fontId="12" fillId="0" borderId="7" xfId="0" applyNumberFormat="1" applyFont="1" applyBorder="1" applyAlignment="1">
      <alignment vertical="top" wrapText="1"/>
    </xf>
    <xf numFmtId="0" fontId="28" fillId="0" borderId="22" xfId="0" applyFont="1" applyBorder="1" applyAlignment="1">
      <alignment horizontal="center" vertical="center" wrapText="1"/>
    </xf>
    <xf numFmtId="178" fontId="12" fillId="0" borderId="27" xfId="4" applyNumberFormat="1" applyFont="1" applyBorder="1" applyAlignment="1">
      <alignment vertical="center" wrapText="1"/>
    </xf>
    <xf numFmtId="178" fontId="12" fillId="0" borderId="27" xfId="0" applyNumberFormat="1" applyFont="1" applyBorder="1" applyAlignment="1">
      <alignment vertical="center" wrapText="1"/>
    </xf>
    <xf numFmtId="183" fontId="12" fillId="0" borderId="27" xfId="0" applyNumberFormat="1" applyFont="1" applyBorder="1" applyAlignment="1">
      <alignment vertical="center" wrapText="1"/>
    </xf>
    <xf numFmtId="41" fontId="12" fillId="0" borderId="27" xfId="0" applyNumberFormat="1" applyFont="1" applyBorder="1" applyAlignment="1">
      <alignment vertical="center" wrapText="1"/>
    </xf>
    <xf numFmtId="183" fontId="12" fillId="0" borderId="18" xfId="0" applyNumberFormat="1" applyFont="1" applyBorder="1" applyAlignment="1">
      <alignment vertical="center" wrapText="1"/>
    </xf>
    <xf numFmtId="183" fontId="12" fillId="0" borderId="14" xfId="0" applyNumberFormat="1" applyFont="1" applyBorder="1" applyAlignment="1">
      <alignment vertical="top" wrapText="1"/>
    </xf>
    <xf numFmtId="0" fontId="28" fillId="0" borderId="21" xfId="0" applyFont="1" applyBorder="1" applyAlignment="1">
      <alignment horizontal="justify" wrapText="1"/>
    </xf>
    <xf numFmtId="177" fontId="12" fillId="0" borderId="7" xfId="0" applyNumberFormat="1" applyFont="1" applyBorder="1" applyAlignment="1">
      <alignment horizontal="right" wrapText="1"/>
    </xf>
    <xf numFmtId="0" fontId="12" fillId="0" borderId="5" xfId="0" applyFont="1" applyBorder="1" applyAlignment="1">
      <alignment wrapText="1"/>
    </xf>
    <xf numFmtId="0" fontId="12" fillId="0" borderId="0" xfId="0" applyFont="1" applyBorder="1" applyAlignment="1">
      <alignment wrapText="1"/>
    </xf>
    <xf numFmtId="0" fontId="12" fillId="0" borderId="24" xfId="0" applyFont="1" applyBorder="1" applyAlignment="1">
      <alignment wrapText="1"/>
    </xf>
    <xf numFmtId="0" fontId="12" fillId="0" borderId="7" xfId="0" applyFont="1" applyBorder="1" applyAlignment="1">
      <alignment wrapText="1"/>
    </xf>
    <xf numFmtId="2" fontId="12" fillId="0" borderId="7" xfId="0" applyNumberFormat="1" applyFont="1" applyBorder="1" applyAlignment="1">
      <alignment wrapText="1"/>
    </xf>
    <xf numFmtId="2" fontId="12" fillId="0" borderId="11" xfId="0" applyNumberFormat="1" applyFont="1" applyBorder="1" applyAlignment="1">
      <alignment wrapText="1"/>
    </xf>
    <xf numFmtId="0" fontId="64" fillId="0" borderId="0" xfId="0" applyFont="1"/>
    <xf numFmtId="0" fontId="12" fillId="0" borderId="21" xfId="0" applyFont="1" applyBorder="1" applyAlignment="1">
      <alignment vertical="center"/>
    </xf>
    <xf numFmtId="0" fontId="12" fillId="0" borderId="5" xfId="0" applyFont="1" applyBorder="1" applyAlignment="1">
      <alignment vertical="center"/>
    </xf>
    <xf numFmtId="178" fontId="12" fillId="0" borderId="5" xfId="0" applyNumberFormat="1" applyFont="1" applyBorder="1" applyAlignment="1">
      <alignment vertical="center"/>
    </xf>
    <xf numFmtId="178" fontId="12" fillId="0" borderId="14" xfId="0" applyNumberFormat="1" applyFont="1" applyBorder="1" applyAlignment="1">
      <alignment vertical="center"/>
    </xf>
    <xf numFmtId="177" fontId="28" fillId="0" borderId="24" xfId="4" applyNumberFormat="1" applyFont="1" applyFill="1" applyBorder="1" applyAlignment="1"/>
    <xf numFmtId="177" fontId="28" fillId="0" borderId="14" xfId="4" applyNumberFormat="1" applyFont="1" applyFill="1" applyBorder="1" applyAlignment="1"/>
    <xf numFmtId="0" fontId="12" fillId="0" borderId="0" xfId="0" applyFont="1" applyBorder="1" applyAlignment="1">
      <alignment horizontal="center" vertical="top"/>
    </xf>
    <xf numFmtId="177" fontId="12" fillId="0" borderId="24" xfId="4" applyNumberFormat="1" applyFont="1" applyBorder="1" applyAlignment="1">
      <alignment vertical="top"/>
    </xf>
    <xf numFmtId="0" fontId="10" fillId="0" borderId="30" xfId="0" applyFont="1" applyBorder="1" applyAlignment="1">
      <alignment horizontal="left" vertical="top"/>
    </xf>
    <xf numFmtId="177" fontId="12" fillId="0" borderId="5" xfId="4" applyNumberFormat="1" applyFont="1" applyBorder="1" applyAlignment="1">
      <alignment vertical="top"/>
    </xf>
    <xf numFmtId="0" fontId="12" fillId="0" borderId="14" xfId="0" applyFont="1" applyBorder="1" applyAlignment="1">
      <alignment vertical="top"/>
    </xf>
    <xf numFmtId="0" fontId="8" fillId="0" borderId="11" xfId="0" applyFont="1" applyBorder="1" applyAlignment="1">
      <alignment horizontal="justify" vertical="top" wrapText="1"/>
    </xf>
    <xf numFmtId="0" fontId="12" fillId="0" borderId="23" xfId="0" applyFont="1" applyBorder="1" applyAlignment="1">
      <alignment horizontal="center" wrapText="1"/>
    </xf>
    <xf numFmtId="0" fontId="12" fillId="0" borderId="17" xfId="0" applyFont="1" applyBorder="1" applyAlignment="1">
      <alignment wrapText="1"/>
    </xf>
    <xf numFmtId="177" fontId="12" fillId="0" borderId="17" xfId="0" applyNumberFormat="1" applyFont="1" applyBorder="1" applyAlignment="1">
      <alignment wrapText="1"/>
    </xf>
    <xf numFmtId="0" fontId="12" fillId="0" borderId="13" xfId="0" applyFont="1" applyBorder="1" applyAlignment="1">
      <alignment wrapText="1"/>
    </xf>
    <xf numFmtId="41" fontId="12" fillId="0" borderId="7" xfId="0" applyNumberFormat="1" applyFont="1" applyBorder="1" applyAlignment="1">
      <alignment horizontal="right" wrapText="1"/>
    </xf>
    <xf numFmtId="41" fontId="5" fillId="0" borderId="7" xfId="0" applyNumberFormat="1" applyFont="1" applyBorder="1" applyAlignment="1">
      <alignment horizontal="right" wrapText="1"/>
    </xf>
    <xf numFmtId="0" fontId="16" fillId="0" borderId="0" xfId="0" applyFont="1" applyAlignment="1">
      <alignment horizontal="center"/>
    </xf>
    <xf numFmtId="0" fontId="19" fillId="0" borderId="0" xfId="0" applyFont="1" applyAlignment="1">
      <alignment horizontal="center"/>
    </xf>
    <xf numFmtId="0" fontId="17" fillId="0" borderId="0" xfId="0" applyFont="1" applyAlignment="1">
      <alignment horizontal="center"/>
    </xf>
    <xf numFmtId="0" fontId="0" fillId="0" borderId="0" xfId="0" applyAlignment="1">
      <alignment horizontal="center" vertical="top"/>
    </xf>
    <xf numFmtId="177" fontId="35" fillId="0" borderId="24" xfId="4" applyNumberFormat="1" applyFont="1" applyFill="1" applyBorder="1" applyAlignment="1">
      <alignment horizontal="center"/>
    </xf>
    <xf numFmtId="177" fontId="35" fillId="0" borderId="5" xfId="4" applyNumberFormat="1" applyFont="1" applyFill="1" applyBorder="1" applyAlignment="1">
      <alignment horizontal="center"/>
    </xf>
    <xf numFmtId="177" fontId="28" fillId="0" borderId="17" xfId="4" applyNumberFormat="1" applyFont="1" applyFill="1" applyBorder="1" applyAlignment="1"/>
    <xf numFmtId="177" fontId="5" fillId="0" borderId="0" xfId="0" applyNumberFormat="1" applyFont="1"/>
    <xf numFmtId="177" fontId="35" fillId="0" borderId="17" xfId="4" applyNumberFormat="1" applyFont="1" applyFill="1" applyBorder="1" applyAlignment="1">
      <alignment horizontal="center"/>
    </xf>
    <xf numFmtId="177" fontId="31" fillId="0" borderId="5" xfId="4" applyNumberFormat="1" applyFont="1" applyFill="1" applyBorder="1" applyAlignment="1">
      <alignment horizontal="left" indent="1"/>
    </xf>
    <xf numFmtId="41" fontId="31" fillId="0" borderId="5" xfId="4" applyNumberFormat="1" applyFont="1" applyFill="1" applyBorder="1" applyAlignment="1">
      <alignment horizontal="left" indent="2"/>
    </xf>
    <xf numFmtId="41" fontId="31" fillId="0" borderId="5" xfId="4" applyNumberFormat="1" applyFont="1" applyFill="1" applyBorder="1" applyAlignment="1">
      <alignment horizontal="left" vertical="top" wrapText="1" indent="2"/>
    </xf>
    <xf numFmtId="0" fontId="31" fillId="0" borderId="0" xfId="0" applyFont="1" applyAlignment="1">
      <alignment vertical="top"/>
    </xf>
    <xf numFmtId="41" fontId="31" fillId="0" borderId="5" xfId="0" applyNumberFormat="1" applyFont="1" applyFill="1" applyBorder="1" applyAlignment="1">
      <alignment vertical="top"/>
    </xf>
    <xf numFmtId="41" fontId="31" fillId="0" borderId="5" xfId="0" applyNumberFormat="1" applyFont="1" applyFill="1" applyBorder="1" applyAlignment="1">
      <alignment horizontal="left" vertical="center" indent="2"/>
    </xf>
    <xf numFmtId="41" fontId="31" fillId="0" borderId="5" xfId="0" applyNumberFormat="1" applyFont="1" applyFill="1" applyBorder="1" applyAlignment="1">
      <alignment vertical="center"/>
    </xf>
    <xf numFmtId="41" fontId="31" fillId="0" borderId="5" xfId="4" applyNumberFormat="1" applyFont="1" applyFill="1" applyBorder="1" applyAlignment="1">
      <alignment vertical="center"/>
    </xf>
    <xf numFmtId="0" fontId="31" fillId="0" borderId="0" xfId="0" applyFont="1" applyAlignment="1">
      <alignment vertical="center"/>
    </xf>
    <xf numFmtId="41" fontId="31" fillId="0" borderId="5" xfId="4" applyNumberFormat="1" applyFont="1" applyFill="1" applyBorder="1" applyAlignment="1">
      <alignment horizontal="left" vertical="center" indent="2"/>
    </xf>
    <xf numFmtId="41" fontId="31" fillId="0" borderId="5" xfId="4" applyNumberFormat="1" applyFont="1" applyFill="1" applyBorder="1" applyAlignment="1">
      <alignment horizontal="left" indent="1"/>
    </xf>
    <xf numFmtId="0" fontId="31" fillId="0" borderId="8" xfId="0" applyFont="1" applyFill="1" applyBorder="1" applyAlignment="1">
      <alignment horizontal="left"/>
    </xf>
    <xf numFmtId="0" fontId="31" fillId="0" borderId="6" xfId="0" applyFont="1" applyFill="1" applyBorder="1" applyAlignment="1">
      <alignment horizontal="left"/>
    </xf>
    <xf numFmtId="0" fontId="30" fillId="0" borderId="0" xfId="0" applyFont="1" applyBorder="1" applyAlignment="1"/>
    <xf numFmtId="0" fontId="25" fillId="0" borderId="0" xfId="0" applyFont="1" applyBorder="1" applyAlignment="1"/>
    <xf numFmtId="177" fontId="31" fillId="0" borderId="20" xfId="0" applyNumberFormat="1" applyFont="1" applyFill="1" applyBorder="1"/>
    <xf numFmtId="177" fontId="5" fillId="0" borderId="14" xfId="4" applyNumberFormat="1" applyFont="1" applyFill="1" applyBorder="1" applyAlignment="1"/>
    <xf numFmtId="177" fontId="28" fillId="0" borderId="22" xfId="0" applyNumberFormat="1" applyFont="1" applyFill="1" applyBorder="1" applyAlignment="1">
      <alignment horizontal="center"/>
    </xf>
    <xf numFmtId="0" fontId="24" fillId="0" borderId="8" xfId="0" applyFont="1" applyFill="1" applyBorder="1" applyAlignment="1">
      <alignment horizontal="left"/>
    </xf>
    <xf numFmtId="0" fontId="31" fillId="0" borderId="0" xfId="0" applyFont="1" applyFill="1" applyBorder="1" applyAlignment="1"/>
    <xf numFmtId="177" fontId="31" fillId="0" borderId="14" xfId="4" applyNumberFormat="1" applyFont="1" applyFill="1" applyBorder="1"/>
    <xf numFmtId="0" fontId="32" fillId="0" borderId="0" xfId="0" applyFont="1" applyAlignment="1">
      <alignment horizontal="left"/>
    </xf>
    <xf numFmtId="10" fontId="32" fillId="0" borderId="0" xfId="0" applyNumberFormat="1" applyFont="1"/>
    <xf numFmtId="0" fontId="32" fillId="0" borderId="0" xfId="0" applyFont="1" applyAlignment="1">
      <alignment horizontal="right"/>
    </xf>
    <xf numFmtId="180" fontId="8" fillId="0" borderId="16" xfId="4" applyNumberFormat="1" applyFont="1" applyFill="1" applyBorder="1"/>
    <xf numFmtId="0" fontId="28" fillId="0" borderId="5" xfId="0" applyFont="1" applyFill="1" applyBorder="1" applyAlignment="1">
      <alignment wrapText="1"/>
    </xf>
    <xf numFmtId="177" fontId="11" fillId="0" borderId="37" xfId="4" applyNumberFormat="1" applyFont="1" applyFill="1" applyBorder="1"/>
    <xf numFmtId="177" fontId="9" fillId="0" borderId="21" xfId="4" applyNumberFormat="1" applyFont="1" applyFill="1" applyBorder="1"/>
    <xf numFmtId="177" fontId="11" fillId="0" borderId="21" xfId="4" applyNumberFormat="1" applyFont="1" applyFill="1" applyBorder="1"/>
    <xf numFmtId="178" fontId="11" fillId="0" borderId="21" xfId="4" applyNumberFormat="1" applyFont="1" applyFill="1" applyBorder="1"/>
    <xf numFmtId="177" fontId="28" fillId="0" borderId="7" xfId="4" applyNumberFormat="1" applyFont="1" applyFill="1" applyBorder="1"/>
    <xf numFmtId="177" fontId="28" fillId="0" borderId="21" xfId="4" applyNumberFormat="1" applyFont="1" applyFill="1" applyBorder="1"/>
    <xf numFmtId="177" fontId="28" fillId="0" borderId="18" xfId="0" applyNumberFormat="1" applyFont="1" applyBorder="1"/>
    <xf numFmtId="177" fontId="24" fillId="0" borderId="20" xfId="4" applyNumberFormat="1" applyFont="1" applyFill="1" applyBorder="1"/>
    <xf numFmtId="178" fontId="5" fillId="0" borderId="48" xfId="0" applyNumberFormat="1" applyFont="1" applyBorder="1" applyAlignment="1">
      <alignment vertical="center"/>
    </xf>
    <xf numFmtId="177" fontId="5" fillId="0" borderId="5" xfId="4" applyNumberFormat="1" applyFont="1" applyFill="1" applyBorder="1" applyAlignment="1">
      <alignment vertical="top" wrapText="1"/>
    </xf>
    <xf numFmtId="0" fontId="30" fillId="0" borderId="0" xfId="0" applyFont="1" applyFill="1" applyBorder="1" applyAlignment="1"/>
    <xf numFmtId="0" fontId="31" fillId="0" borderId="31" xfId="0" applyFont="1" applyBorder="1" applyAlignment="1">
      <alignment horizontal="center" vertical="center"/>
    </xf>
    <xf numFmtId="177" fontId="28" fillId="0" borderId="37" xfId="4" applyNumberFormat="1" applyFont="1" applyFill="1" applyBorder="1" applyAlignment="1"/>
    <xf numFmtId="177" fontId="28" fillId="0" borderId="30" xfId="4" applyNumberFormat="1" applyFont="1" applyFill="1" applyBorder="1" applyAlignment="1"/>
    <xf numFmtId="41" fontId="31" fillId="0" borderId="21" xfId="4" applyNumberFormat="1" applyFont="1" applyFill="1" applyBorder="1" applyAlignment="1"/>
    <xf numFmtId="41" fontId="31" fillId="0" borderId="21" xfId="4" applyNumberFormat="1" applyFont="1" applyFill="1" applyBorder="1" applyAlignment="1">
      <alignment vertical="center"/>
    </xf>
    <xf numFmtId="41" fontId="31" fillId="0" borderId="21" xfId="4" applyNumberFormat="1" applyFont="1" applyFill="1" applyBorder="1" applyAlignment="1">
      <alignment vertical="top"/>
    </xf>
    <xf numFmtId="41" fontId="31" fillId="0" borderId="21" xfId="0" applyNumberFormat="1" applyFont="1" applyFill="1" applyBorder="1" applyAlignment="1">
      <alignment vertical="center"/>
    </xf>
    <xf numFmtId="41" fontId="31" fillId="0" borderId="21" xfId="0" applyNumberFormat="1" applyFont="1" applyFill="1" applyBorder="1" applyAlignment="1">
      <alignment vertical="top"/>
    </xf>
    <xf numFmtId="177" fontId="28" fillId="0" borderId="21" xfId="4" applyNumberFormat="1" applyFont="1" applyFill="1" applyBorder="1" applyAlignment="1"/>
    <xf numFmtId="41" fontId="31" fillId="0" borderId="21" xfId="4" applyNumberFormat="1" applyFont="1" applyFill="1" applyBorder="1"/>
    <xf numFmtId="41" fontId="31" fillId="0" borderId="21" xfId="0" applyNumberFormat="1" applyFont="1" applyBorder="1"/>
    <xf numFmtId="177" fontId="28" fillId="0" borderId="22" xfId="4" applyNumberFormat="1" applyFont="1" applyFill="1" applyBorder="1" applyAlignment="1"/>
    <xf numFmtId="177" fontId="28" fillId="0" borderId="18" xfId="4" applyNumberFormat="1" applyFont="1" applyFill="1" applyBorder="1" applyAlignment="1"/>
    <xf numFmtId="0" fontId="5" fillId="0" borderId="5" xfId="0" applyFont="1" applyFill="1" applyBorder="1" applyAlignment="1">
      <alignment vertical="top" wrapText="1"/>
    </xf>
    <xf numFmtId="177" fontId="5" fillId="0" borderId="7" xfId="4" applyNumberFormat="1" applyFont="1" applyFill="1" applyBorder="1" applyAlignment="1">
      <alignment horizontal="right" wrapText="1"/>
    </xf>
    <xf numFmtId="41" fontId="24" fillId="0" borderId="9" xfId="0" applyNumberFormat="1" applyFont="1" applyBorder="1" applyAlignment="1">
      <alignment horizontal="center" vertical="center" wrapText="1"/>
    </xf>
    <xf numFmtId="41" fontId="31" fillId="0" borderId="31" xfId="0" applyNumberFormat="1" applyFont="1" applyBorder="1" applyAlignment="1">
      <alignment horizontal="center" vertical="center" wrapText="1"/>
    </xf>
    <xf numFmtId="41" fontId="31" fillId="0" borderId="10" xfId="0" applyNumberFormat="1" applyFont="1" applyBorder="1" applyAlignment="1">
      <alignment horizontal="center" vertical="center" wrapText="1"/>
    </xf>
    <xf numFmtId="10" fontId="5" fillId="0" borderId="0" xfId="0" applyNumberFormat="1" applyFont="1"/>
    <xf numFmtId="0" fontId="37" fillId="0" borderId="0" xfId="0" applyFont="1" applyAlignment="1"/>
    <xf numFmtId="177" fontId="31" fillId="0" borderId="18" xfId="4" applyNumberFormat="1" applyFont="1" applyFill="1" applyBorder="1"/>
    <xf numFmtId="0" fontId="28" fillId="0" borderId="28" xfId="0" applyFont="1" applyBorder="1" applyAlignment="1">
      <alignment horizontal="left"/>
    </xf>
    <xf numFmtId="0" fontId="28" fillId="0" borderId="7" xfId="0" applyFont="1" applyFill="1" applyBorder="1"/>
    <xf numFmtId="0" fontId="28" fillId="0" borderId="0" xfId="0" applyFont="1" applyFill="1" applyBorder="1" applyAlignment="1"/>
    <xf numFmtId="0" fontId="28" fillId="0" borderId="7" xfId="0" applyFont="1" applyBorder="1" applyAlignment="1"/>
    <xf numFmtId="0" fontId="31" fillId="0" borderId="38" xfId="0" applyFont="1" applyBorder="1" applyAlignment="1">
      <alignment horizontal="center"/>
    </xf>
    <xf numFmtId="177" fontId="35" fillId="0" borderId="24" xfId="4" applyNumberFormat="1" applyFont="1" applyFill="1" applyBorder="1" applyAlignment="1">
      <alignment horizontal="center" vertical="center"/>
    </xf>
    <xf numFmtId="177" fontId="28" fillId="0" borderId="24" xfId="4" applyNumberFormat="1" applyFont="1" applyFill="1" applyBorder="1" applyAlignment="1">
      <alignment vertical="center"/>
    </xf>
    <xf numFmtId="177" fontId="28" fillId="0" borderId="30" xfId="4" applyNumberFormat="1" applyFont="1" applyFill="1" applyBorder="1" applyAlignment="1">
      <alignment vertical="center"/>
    </xf>
    <xf numFmtId="177" fontId="31" fillId="0" borderId="21" xfId="4" applyNumberFormat="1" applyFont="1" applyFill="1" applyBorder="1" applyAlignment="1">
      <alignment vertical="center"/>
    </xf>
    <xf numFmtId="177" fontId="31" fillId="0" borderId="5" xfId="4" applyNumberFormat="1" applyFont="1" applyFill="1" applyBorder="1" applyAlignment="1">
      <alignment vertical="center"/>
    </xf>
    <xf numFmtId="177" fontId="31" fillId="0" borderId="14" xfId="4" applyNumberFormat="1" applyFont="1" applyFill="1" applyBorder="1" applyAlignment="1">
      <alignment vertical="center"/>
    </xf>
    <xf numFmtId="177" fontId="31" fillId="0" borderId="5" xfId="4" applyNumberFormat="1" applyFont="1" applyFill="1" applyBorder="1" applyAlignment="1">
      <alignment horizontal="left" vertical="center"/>
    </xf>
    <xf numFmtId="41" fontId="31" fillId="0" borderId="5" xfId="4" applyNumberFormat="1" applyFont="1" applyFill="1" applyBorder="1" applyAlignment="1">
      <alignment horizontal="left" vertical="center"/>
    </xf>
    <xf numFmtId="41" fontId="31" fillId="0" borderId="5" xfId="4" applyNumberFormat="1" applyFont="1" applyFill="1" applyBorder="1" applyAlignment="1">
      <alignment horizontal="left" vertical="center" wrapText="1"/>
    </xf>
    <xf numFmtId="177" fontId="28" fillId="0" borderId="21" xfId="4" applyNumberFormat="1" applyFont="1" applyFill="1" applyBorder="1" applyAlignment="1">
      <alignment vertical="center"/>
    </xf>
    <xf numFmtId="177" fontId="35" fillId="0" borderId="5" xfId="4" applyNumberFormat="1" applyFont="1" applyFill="1" applyBorder="1" applyAlignment="1">
      <alignment horizontal="center" vertical="center"/>
    </xf>
    <xf numFmtId="177" fontId="28" fillId="0" borderId="5" xfId="4" applyNumberFormat="1" applyFont="1" applyFill="1" applyBorder="1" applyAlignment="1">
      <alignment vertical="center"/>
    </xf>
    <xf numFmtId="177" fontId="28" fillId="0" borderId="14" xfId="4" applyNumberFormat="1" applyFont="1" applyFill="1" applyBorder="1" applyAlignment="1">
      <alignment vertical="center"/>
    </xf>
    <xf numFmtId="41" fontId="31" fillId="0" borderId="14" xfId="0" applyNumberFormat="1" applyFont="1" applyFill="1" applyBorder="1" applyAlignment="1">
      <alignment vertical="center"/>
    </xf>
    <xf numFmtId="41" fontId="31" fillId="0" borderId="5" xfId="0" applyNumberFormat="1" applyFont="1" applyBorder="1" applyAlignment="1">
      <alignment vertical="center"/>
    </xf>
    <xf numFmtId="177" fontId="35" fillId="0" borderId="17" xfId="4" applyNumberFormat="1" applyFont="1" applyFill="1" applyBorder="1" applyAlignment="1">
      <alignment horizontal="center" vertical="center"/>
    </xf>
    <xf numFmtId="177" fontId="28" fillId="0" borderId="17" xfId="4" applyNumberFormat="1" applyFont="1" applyFill="1" applyBorder="1" applyAlignment="1">
      <alignment vertical="center"/>
    </xf>
    <xf numFmtId="177" fontId="28" fillId="0" borderId="18" xfId="4" applyNumberFormat="1" applyFont="1" applyFill="1" applyBorder="1" applyAlignment="1">
      <alignment vertical="center"/>
    </xf>
    <xf numFmtId="177" fontId="28" fillId="0" borderId="30" xfId="4" applyNumberFormat="1" applyFont="1" applyFill="1" applyBorder="1"/>
    <xf numFmtId="0" fontId="79" fillId="0" borderId="0" xfId="0" applyFont="1" applyAlignment="1">
      <alignment horizontal="right"/>
    </xf>
    <xf numFmtId="0" fontId="48" fillId="0" borderId="0" xfId="0" applyFont="1"/>
    <xf numFmtId="177" fontId="24" fillId="0" borderId="0" xfId="0" applyNumberFormat="1" applyFont="1"/>
    <xf numFmtId="177" fontId="56" fillId="3" borderId="16" xfId="4" applyNumberFormat="1" applyFont="1" applyFill="1" applyBorder="1"/>
    <xf numFmtId="177" fontId="5" fillId="0" borderId="0" xfId="4" applyNumberFormat="1" applyFont="1" applyFill="1" applyAlignment="1">
      <alignment vertical="top"/>
    </xf>
    <xf numFmtId="177" fontId="31" fillId="0" borderId="22" xfId="4" applyNumberFormat="1" applyFont="1" applyFill="1" applyBorder="1"/>
    <xf numFmtId="177" fontId="31" fillId="0" borderId="7" xfId="4" applyNumberFormat="1" applyFont="1" applyFill="1" applyBorder="1"/>
    <xf numFmtId="0" fontId="5" fillId="0" borderId="5" xfId="0" applyFont="1" applyFill="1" applyBorder="1" applyAlignment="1">
      <alignment vertical="center"/>
    </xf>
    <xf numFmtId="177" fontId="5" fillId="0" borderId="4" xfId="4" applyNumberFormat="1" applyFont="1" applyFill="1" applyBorder="1" applyAlignment="1"/>
    <xf numFmtId="0" fontId="28" fillId="0" borderId="35" xfId="0" applyFont="1" applyFill="1" applyBorder="1"/>
    <xf numFmtId="0" fontId="24" fillId="0" borderId="12" xfId="0" applyFont="1" applyFill="1" applyBorder="1"/>
    <xf numFmtId="177" fontId="28" fillId="0" borderId="14" xfId="4" applyNumberFormat="1" applyFont="1" applyFill="1" applyBorder="1"/>
    <xf numFmtId="0" fontId="65" fillId="0" borderId="5" xfId="0" applyFont="1" applyFill="1" applyBorder="1" applyAlignment="1">
      <alignment horizontal="left" wrapText="1"/>
    </xf>
    <xf numFmtId="0" fontId="65" fillId="0" borderId="5" xfId="0" applyFont="1" applyFill="1" applyBorder="1" applyAlignment="1"/>
    <xf numFmtId="0" fontId="65" fillId="0" borderId="5" xfId="0" applyFont="1" applyFill="1" applyBorder="1" applyAlignment="1">
      <alignment wrapText="1"/>
    </xf>
    <xf numFmtId="0" fontId="65" fillId="0" borderId="5" xfId="0" applyFont="1" applyFill="1" applyBorder="1" applyAlignment="1">
      <alignment horizontal="left"/>
    </xf>
    <xf numFmtId="0" fontId="28" fillId="0" borderId="17" xfId="0" applyFont="1" applyBorder="1" applyAlignment="1">
      <alignment horizontal="center"/>
    </xf>
    <xf numFmtId="0" fontId="5" fillId="0" borderId="45" xfId="0" applyFont="1" applyFill="1" applyBorder="1" applyAlignment="1">
      <alignment vertical="top" wrapText="1"/>
    </xf>
    <xf numFmtId="0" fontId="8" fillId="0" borderId="11" xfId="0" applyFont="1" applyFill="1" applyBorder="1" applyAlignment="1">
      <alignment vertical="top" wrapText="1"/>
    </xf>
    <xf numFmtId="0" fontId="31" fillId="0" borderId="24" xfId="0" applyFont="1" applyFill="1" applyBorder="1"/>
    <xf numFmtId="177" fontId="31" fillId="0" borderId="24" xfId="4" applyNumberFormat="1" applyFont="1" applyFill="1" applyBorder="1"/>
    <xf numFmtId="0" fontId="33" fillId="0" borderId="5" xfId="0" applyFont="1" applyFill="1" applyBorder="1"/>
    <xf numFmtId="41" fontId="31" fillId="0" borderId="5" xfId="4" applyNumberFormat="1" applyFont="1" applyFill="1" applyBorder="1" applyAlignment="1">
      <alignment vertical="top"/>
    </xf>
    <xf numFmtId="0" fontId="31" fillId="0" borderId="0" xfId="0" applyFont="1" applyFill="1" applyAlignment="1">
      <alignment vertical="center"/>
    </xf>
    <xf numFmtId="0" fontId="31" fillId="0" borderId="0" xfId="0" applyFont="1" applyFill="1" applyAlignment="1">
      <alignment vertical="top"/>
    </xf>
    <xf numFmtId="177" fontId="8" fillId="0" borderId="20" xfId="4" applyNumberFormat="1" applyFont="1" applyFill="1" applyBorder="1"/>
    <xf numFmtId="41" fontId="56" fillId="0" borderId="16" xfId="4" applyNumberFormat="1" applyFont="1" applyFill="1" applyBorder="1"/>
    <xf numFmtId="0" fontId="31" fillId="0" borderId="21" xfId="0" applyFont="1" applyFill="1" applyBorder="1" applyAlignment="1">
      <alignment wrapText="1"/>
    </xf>
    <xf numFmtId="0" fontId="28" fillId="0" borderId="21" xfId="0" applyFont="1" applyFill="1" applyBorder="1" applyAlignment="1">
      <alignment wrapText="1"/>
    </xf>
    <xf numFmtId="0" fontId="31" fillId="0" borderId="12" xfId="0" applyFont="1" applyFill="1" applyBorder="1"/>
    <xf numFmtId="0" fontId="28" fillId="0" borderId="24" xfId="0" applyFont="1" applyFill="1" applyBorder="1"/>
    <xf numFmtId="177" fontId="12" fillId="0" borderId="0" xfId="4" applyNumberFormat="1" applyFont="1" applyFill="1"/>
    <xf numFmtId="49" fontId="12" fillId="0" borderId="0" xfId="4" applyNumberFormat="1" applyFont="1" applyFill="1"/>
    <xf numFmtId="177" fontId="12" fillId="0" borderId="0" xfId="4" applyNumberFormat="1" applyFont="1" applyFill="1" applyAlignment="1">
      <alignment horizontal="center" vertical="center"/>
    </xf>
    <xf numFmtId="177" fontId="12" fillId="0" borderId="0" xfId="4" applyNumberFormat="1" applyFont="1" applyFill="1" applyAlignment="1">
      <alignment vertical="center"/>
    </xf>
    <xf numFmtId="177" fontId="10" fillId="0" borderId="0" xfId="4" applyNumberFormat="1" applyFont="1" applyFill="1" applyAlignment="1">
      <alignment horizontal="right" vertical="center"/>
    </xf>
    <xf numFmtId="177" fontId="10" fillId="0" borderId="3" xfId="4" applyNumberFormat="1" applyFont="1" applyFill="1" applyBorder="1" applyAlignment="1">
      <alignment horizontal="center" vertical="center"/>
    </xf>
    <xf numFmtId="49" fontId="10" fillId="0" borderId="3" xfId="4" applyNumberFormat="1" applyFont="1" applyFill="1" applyBorder="1" applyAlignment="1">
      <alignment horizontal="left" vertical="center"/>
    </xf>
    <xf numFmtId="177" fontId="62" fillId="0" borderId="35" xfId="0" applyNumberFormat="1" applyFont="1" applyFill="1" applyBorder="1" applyAlignment="1">
      <alignment vertical="center" shrinkToFit="1"/>
    </xf>
    <xf numFmtId="49" fontId="40" fillId="0" borderId="35" xfId="4" applyNumberFormat="1" applyFont="1" applyFill="1" applyBorder="1" applyAlignment="1">
      <alignment horizontal="center" vertical="center" shrinkToFit="1"/>
    </xf>
    <xf numFmtId="0" fontId="5" fillId="0" borderId="9"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10" xfId="0" applyFont="1" applyBorder="1" applyAlignment="1">
      <alignment horizontal="center" vertical="center" wrapText="1"/>
    </xf>
    <xf numFmtId="0" fontId="0" fillId="0" borderId="5" xfId="0" applyBorder="1" applyAlignment="1">
      <alignment vertical="center"/>
    </xf>
    <xf numFmtId="0" fontId="0" fillId="0" borderId="14" xfId="0" applyBorder="1" applyAlignment="1">
      <alignment vertical="center"/>
    </xf>
    <xf numFmtId="0" fontId="5" fillId="0" borderId="22" xfId="0" applyFont="1" applyBorder="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0" fontId="5" fillId="0" borderId="0" xfId="0" applyFont="1" applyFill="1" applyBorder="1" applyAlignment="1">
      <alignment vertical="center"/>
    </xf>
    <xf numFmtId="0" fontId="5" fillId="0" borderId="3" xfId="0" applyFont="1" applyBorder="1" applyAlignment="1">
      <alignment horizontal="center" vertical="center" wrapText="1"/>
    </xf>
    <xf numFmtId="0" fontId="5" fillId="0" borderId="21" xfId="0" applyFont="1" applyBorder="1" applyAlignment="1">
      <alignment horizontal="center" vertical="center"/>
    </xf>
    <xf numFmtId="0" fontId="5" fillId="0" borderId="5" xfId="0" applyFont="1" applyBorder="1" applyAlignment="1">
      <alignment vertical="top" shrinkToFit="1"/>
    </xf>
    <xf numFmtId="0" fontId="5" fillId="0" borderId="5" xfId="0" applyFont="1" applyBorder="1" applyAlignment="1">
      <alignment shrinkToFit="1"/>
    </xf>
    <xf numFmtId="0" fontId="5" fillId="0" borderId="17" xfId="0" applyFont="1" applyBorder="1" applyAlignment="1">
      <alignment shrinkToFit="1"/>
    </xf>
    <xf numFmtId="178" fontId="5" fillId="0" borderId="5" xfId="0" applyNumberFormat="1" applyFont="1" applyBorder="1" applyAlignment="1">
      <alignment vertical="top" shrinkToFit="1"/>
    </xf>
    <xf numFmtId="178" fontId="5" fillId="0" borderId="5" xfId="0" applyNumberFormat="1" applyFont="1" applyFill="1" applyBorder="1" applyAlignment="1">
      <alignment vertical="top" shrinkToFit="1"/>
    </xf>
    <xf numFmtId="178" fontId="5" fillId="0" borderId="5" xfId="0" applyNumberFormat="1" applyFont="1" applyBorder="1" applyAlignment="1">
      <alignment shrinkToFit="1"/>
    </xf>
    <xf numFmtId="41" fontId="5" fillId="0" borderId="5" xfId="5" applyFont="1" applyBorder="1" applyAlignment="1">
      <alignment vertical="top" shrinkToFit="1"/>
    </xf>
    <xf numFmtId="177" fontId="5" fillId="0" borderId="5" xfId="4" applyNumberFormat="1" applyFont="1" applyBorder="1" applyAlignment="1">
      <alignment vertical="top" shrinkToFit="1"/>
    </xf>
    <xf numFmtId="177" fontId="3" fillId="2" borderId="5" xfId="4" applyNumberFormat="1" applyFont="1" applyFill="1" applyBorder="1" applyAlignment="1">
      <alignment shrinkToFit="1"/>
    </xf>
    <xf numFmtId="177" fontId="5" fillId="0" borderId="5" xfId="4" applyNumberFormat="1" applyFont="1" applyBorder="1" applyAlignment="1">
      <alignment shrinkToFit="1"/>
    </xf>
    <xf numFmtId="178" fontId="5" fillId="0" borderId="5" xfId="0" applyNumberFormat="1" applyFont="1" applyBorder="1" applyAlignment="1">
      <alignment vertical="top"/>
    </xf>
    <xf numFmtId="178" fontId="5" fillId="0" borderId="5" xfId="0" applyNumberFormat="1" applyFont="1" applyFill="1" applyBorder="1" applyAlignment="1">
      <alignment vertical="top"/>
    </xf>
    <xf numFmtId="178" fontId="12" fillId="0" borderId="5" xfId="0" applyNumberFormat="1" applyFont="1" applyBorder="1" applyAlignment="1">
      <alignment vertical="top"/>
    </xf>
    <xf numFmtId="178" fontId="12" fillId="0" borderId="24" xfId="0" applyNumberFormat="1" applyFont="1" applyBorder="1" applyAlignment="1">
      <alignment vertical="top"/>
    </xf>
    <xf numFmtId="0" fontId="7" fillId="0" borderId="0" xfId="0" applyFont="1" applyAlignment="1">
      <alignment horizontal="justify"/>
    </xf>
    <xf numFmtId="0" fontId="67" fillId="0" borderId="0" xfId="0" applyFont="1" applyFill="1"/>
    <xf numFmtId="0" fontId="13" fillId="0" borderId="0" xfId="0" applyFont="1" applyFill="1"/>
    <xf numFmtId="0" fontId="8" fillId="0" borderId="0" xfId="0" applyFont="1" applyFill="1" applyAlignment="1">
      <alignment horizontal="center"/>
    </xf>
    <xf numFmtId="0" fontId="5" fillId="0" borderId="0" xfId="0" applyFont="1" applyFill="1" applyAlignment="1">
      <alignment horizontal="right"/>
    </xf>
    <xf numFmtId="0" fontId="13" fillId="0" borderId="0" xfId="0" applyFont="1" applyFill="1" applyAlignment="1">
      <alignment vertical="center"/>
    </xf>
    <xf numFmtId="0" fontId="5" fillId="0" borderId="34"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39" xfId="0" applyFont="1" applyFill="1" applyBorder="1" applyAlignment="1">
      <alignment horizontal="center" vertical="center"/>
    </xf>
    <xf numFmtId="0" fontId="75" fillId="0" borderId="0" xfId="0" applyFont="1" applyFill="1"/>
    <xf numFmtId="0" fontId="57" fillId="0" borderId="0" xfId="0" applyFont="1" applyFill="1"/>
    <xf numFmtId="0" fontId="8" fillId="0" borderId="22" xfId="0" applyFont="1" applyFill="1" applyBorder="1"/>
    <xf numFmtId="0" fontId="8" fillId="0" borderId="17" xfId="0" applyFont="1" applyFill="1" applyBorder="1"/>
    <xf numFmtId="0" fontId="5" fillId="0" borderId="17" xfId="0" applyFont="1" applyFill="1" applyBorder="1"/>
    <xf numFmtId="0" fontId="8" fillId="0" borderId="18" xfId="0" applyFont="1" applyFill="1" applyBorder="1"/>
    <xf numFmtId="0" fontId="5" fillId="0" borderId="0" xfId="0" applyFont="1" applyFill="1"/>
    <xf numFmtId="0" fontId="17" fillId="0" borderId="0" xfId="0" applyFont="1" applyFill="1" applyAlignment="1">
      <alignment horizontal="left"/>
    </xf>
    <xf numFmtId="0" fontId="66" fillId="0" borderId="0" xfId="0" applyFont="1" applyFill="1"/>
    <xf numFmtId="0" fontId="6" fillId="0" borderId="0" xfId="0" applyFont="1" applyFill="1" applyAlignment="1">
      <alignment horizontal="center"/>
    </xf>
    <xf numFmtId="0" fontId="0" fillId="0" borderId="0" xfId="0" applyFill="1"/>
    <xf numFmtId="0" fontId="7" fillId="0" borderId="0" xfId="0" applyFont="1" applyFill="1" applyAlignment="1">
      <alignment horizontal="center"/>
    </xf>
    <xf numFmtId="0" fontId="5" fillId="0" borderId="0" xfId="0" applyFont="1" applyFill="1" applyAlignment="1">
      <alignment horizontal="center"/>
    </xf>
    <xf numFmtId="0" fontId="3" fillId="0" borderId="3" xfId="0" applyFont="1" applyFill="1" applyBorder="1" applyAlignment="1">
      <alignment horizontal="center" vertical="center"/>
    </xf>
    <xf numFmtId="176" fontId="5" fillId="0" borderId="24" xfId="6" applyNumberFormat="1" applyFont="1" applyFill="1" applyBorder="1"/>
    <xf numFmtId="0" fontId="12" fillId="0" borderId="36" xfId="0" applyFont="1" applyFill="1" applyBorder="1"/>
    <xf numFmtId="0" fontId="12" fillId="0" borderId="38" xfId="0" applyFont="1" applyFill="1" applyBorder="1" applyAlignment="1">
      <alignment horizontal="center"/>
    </xf>
    <xf numFmtId="176" fontId="5" fillId="0" borderId="5" xfId="0" applyNumberFormat="1" applyFont="1" applyFill="1" applyBorder="1"/>
    <xf numFmtId="0" fontId="5" fillId="0" borderId="30" xfId="0" applyFont="1" applyFill="1" applyBorder="1"/>
    <xf numFmtId="176" fontId="5" fillId="0" borderId="5" xfId="6" applyNumberFormat="1" applyFont="1" applyFill="1" applyBorder="1"/>
    <xf numFmtId="0" fontId="5" fillId="0" borderId="7" xfId="0" applyFont="1" applyFill="1" applyBorder="1" applyAlignment="1">
      <alignment horizontal="center"/>
    </xf>
    <xf numFmtId="177" fontId="3" fillId="0" borderId="14" xfId="0" applyNumberFormat="1" applyFont="1" applyFill="1" applyBorder="1"/>
    <xf numFmtId="0" fontId="5" fillId="0" borderId="6" xfId="0" applyFont="1" applyFill="1" applyBorder="1"/>
    <xf numFmtId="41" fontId="5" fillId="0" borderId="5" xfId="5" applyFont="1" applyFill="1" applyBorder="1"/>
    <xf numFmtId="181" fontId="5" fillId="0" borderId="6" xfId="5" applyNumberFormat="1" applyFont="1" applyFill="1" applyBorder="1"/>
    <xf numFmtId="41" fontId="5" fillId="0" borderId="6" xfId="5" applyFont="1" applyFill="1" applyBorder="1"/>
    <xf numFmtId="0" fontId="12" fillId="0" borderId="6" xfId="0" applyFont="1" applyFill="1" applyBorder="1"/>
    <xf numFmtId="0" fontId="12" fillId="0" borderId="7" xfId="0" applyFont="1" applyFill="1" applyBorder="1" applyAlignment="1">
      <alignment horizontal="center"/>
    </xf>
    <xf numFmtId="0" fontId="5" fillId="0" borderId="14" xfId="0" applyFont="1" applyFill="1" applyBorder="1"/>
    <xf numFmtId="0" fontId="12" fillId="0" borderId="0" xfId="0" applyFont="1" applyFill="1" applyBorder="1" applyAlignment="1">
      <alignment horizontal="center"/>
    </xf>
    <xf numFmtId="177" fontId="8" fillId="0" borderId="14" xfId="0" applyNumberFormat="1" applyFont="1" applyFill="1" applyBorder="1"/>
    <xf numFmtId="179" fontId="5" fillId="0" borderId="14" xfId="0" applyNumberFormat="1" applyFont="1" applyFill="1" applyBorder="1"/>
    <xf numFmtId="0" fontId="5" fillId="0" borderId="0" xfId="0" applyFont="1" applyFill="1" applyBorder="1"/>
    <xf numFmtId="0" fontId="5" fillId="0" borderId="7" xfId="0" applyFont="1" applyFill="1" applyBorder="1"/>
    <xf numFmtId="41" fontId="8" fillId="0" borderId="21" xfId="5" applyFont="1" applyFill="1" applyBorder="1"/>
    <xf numFmtId="0" fontId="10" fillId="0" borderId="6" xfId="0" applyFont="1" applyFill="1" applyBorder="1"/>
    <xf numFmtId="0" fontId="8" fillId="0" borderId="7" xfId="0" applyFont="1" applyFill="1" applyBorder="1"/>
    <xf numFmtId="177" fontId="8" fillId="0" borderId="5" xfId="0" applyNumberFormat="1" applyFont="1" applyFill="1" applyBorder="1"/>
    <xf numFmtId="176" fontId="8" fillId="0" borderId="5" xfId="0" applyNumberFormat="1" applyFont="1" applyFill="1" applyBorder="1"/>
    <xf numFmtId="0" fontId="8" fillId="0" borderId="5" xfId="0" applyFont="1" applyFill="1" applyBorder="1"/>
    <xf numFmtId="0" fontId="8" fillId="0" borderId="21" xfId="0" applyFont="1" applyFill="1" applyBorder="1"/>
    <xf numFmtId="0" fontId="8" fillId="0" borderId="6" xfId="0" applyFont="1" applyFill="1" applyBorder="1"/>
    <xf numFmtId="0" fontId="8" fillId="0" borderId="35" xfId="0" applyFont="1" applyFill="1" applyBorder="1"/>
    <xf numFmtId="0" fontId="8" fillId="0" borderId="27" xfId="0" applyFont="1" applyFill="1" applyBorder="1"/>
    <xf numFmtId="0" fontId="5" fillId="0" borderId="18" xfId="0" applyFont="1" applyFill="1" applyBorder="1"/>
    <xf numFmtId="0" fontId="17" fillId="0" borderId="0" xfId="0" applyFont="1" applyFill="1"/>
    <xf numFmtId="0" fontId="16" fillId="0" borderId="0" xfId="0" applyFont="1" applyFill="1"/>
    <xf numFmtId="0" fontId="7" fillId="0" borderId="0" xfId="0" applyFont="1" applyFill="1"/>
    <xf numFmtId="49" fontId="5" fillId="0" borderId="9" xfId="0" applyNumberFormat="1" applyFont="1" applyFill="1" applyBorder="1" applyAlignment="1">
      <alignment horizontal="center" vertical="center"/>
    </xf>
    <xf numFmtId="0" fontId="9" fillId="0" borderId="40" xfId="0" applyFont="1" applyFill="1" applyBorder="1" applyAlignment="1">
      <alignment horizontal="center" vertical="center" wrapText="1"/>
    </xf>
    <xf numFmtId="0" fontId="9" fillId="0" borderId="31" xfId="0" applyFont="1" applyFill="1" applyBorder="1" applyAlignment="1">
      <alignment horizontal="center" vertical="center" wrapText="1"/>
    </xf>
    <xf numFmtId="49" fontId="9" fillId="0" borderId="10" xfId="0" applyNumberFormat="1" applyFont="1" applyFill="1" applyBorder="1" applyAlignment="1">
      <alignment horizontal="center" vertical="center"/>
    </xf>
    <xf numFmtId="49" fontId="5" fillId="0" borderId="21" xfId="0" applyNumberFormat="1" applyFont="1" applyFill="1" applyBorder="1" applyAlignment="1">
      <alignment horizontal="left" vertical="center"/>
    </xf>
    <xf numFmtId="49" fontId="5" fillId="0" borderId="5" xfId="0" applyNumberFormat="1" applyFont="1" applyFill="1" applyBorder="1" applyAlignment="1">
      <alignment horizontal="center" vertical="center"/>
    </xf>
    <xf numFmtId="178" fontId="5" fillId="0" borderId="5" xfId="0" applyNumberFormat="1" applyFont="1" applyFill="1" applyBorder="1" applyAlignment="1">
      <alignment vertical="center"/>
    </xf>
    <xf numFmtId="178" fontId="5" fillId="0" borderId="14" xfId="0" applyNumberFormat="1" applyFont="1" applyFill="1" applyBorder="1" applyAlignment="1">
      <alignment vertical="center"/>
    </xf>
    <xf numFmtId="0" fontId="5" fillId="0" borderId="0" xfId="0" applyFont="1" applyFill="1" applyAlignment="1">
      <alignment vertical="center"/>
    </xf>
    <xf numFmtId="0" fontId="5" fillId="0" borderId="21" xfId="0" applyFont="1" applyFill="1" applyBorder="1" applyAlignment="1">
      <alignment vertical="center"/>
    </xf>
    <xf numFmtId="0" fontId="12" fillId="0" borderId="21" xfId="0" applyFont="1" applyFill="1" applyBorder="1" applyAlignment="1">
      <alignment vertical="center"/>
    </xf>
    <xf numFmtId="0" fontId="12" fillId="0" borderId="5" xfId="0" applyFont="1" applyFill="1" applyBorder="1" applyAlignment="1">
      <alignment vertical="center"/>
    </xf>
    <xf numFmtId="0" fontId="12" fillId="0" borderId="0" xfId="0" applyFont="1" applyFill="1" applyAlignment="1">
      <alignment vertical="center"/>
    </xf>
    <xf numFmtId="0" fontId="3" fillId="0" borderId="21" xfId="0" applyFont="1" applyFill="1" applyBorder="1" applyAlignment="1">
      <alignment vertical="center"/>
    </xf>
    <xf numFmtId="0" fontId="5" fillId="0" borderId="21" xfId="0" applyFont="1" applyFill="1" applyBorder="1"/>
    <xf numFmtId="0" fontId="5" fillId="0" borderId="22" xfId="0" applyFont="1" applyFill="1" applyBorder="1"/>
    <xf numFmtId="41" fontId="31" fillId="0" borderId="6" xfId="0" applyNumberFormat="1" applyFont="1" applyFill="1" applyBorder="1"/>
    <xf numFmtId="177" fontId="12" fillId="0" borderId="34" xfId="4" applyNumberFormat="1" applyFont="1" applyFill="1" applyBorder="1"/>
    <xf numFmtId="49" fontId="10" fillId="0" borderId="39" xfId="4" applyNumberFormat="1" applyFont="1" applyFill="1" applyBorder="1" applyAlignment="1">
      <alignment vertical="top" wrapText="1"/>
    </xf>
    <xf numFmtId="177" fontId="5" fillId="0" borderId="34" xfId="4" applyNumberFormat="1" applyFont="1" applyFill="1" applyBorder="1" applyAlignment="1">
      <alignment horizontal="center" vertical="center"/>
    </xf>
    <xf numFmtId="177" fontId="8" fillId="0" borderId="39" xfId="4" applyNumberFormat="1" applyFont="1" applyFill="1" applyBorder="1" applyAlignment="1">
      <alignment vertical="top" wrapText="1"/>
    </xf>
    <xf numFmtId="177" fontId="12" fillId="0" borderId="34" xfId="4" applyNumberFormat="1" applyFont="1" applyFill="1" applyBorder="1" applyAlignment="1">
      <alignment horizontal="center" vertical="center"/>
    </xf>
    <xf numFmtId="177" fontId="12" fillId="0" borderId="60" xfId="4" applyNumberFormat="1" applyFont="1" applyFill="1" applyBorder="1"/>
    <xf numFmtId="177" fontId="10" fillId="0" borderId="61" xfId="4" applyNumberFormat="1" applyFont="1" applyFill="1" applyBorder="1" applyAlignment="1">
      <alignment horizontal="center" vertical="center"/>
    </xf>
    <xf numFmtId="177" fontId="10" fillId="0" borderId="61" xfId="4" applyNumberFormat="1" applyFont="1" applyFill="1" applyBorder="1" applyAlignment="1">
      <alignment vertical="center"/>
    </xf>
    <xf numFmtId="177" fontId="10" fillId="0" borderId="61" xfId="4" applyNumberFormat="1" applyFont="1" applyFill="1" applyBorder="1"/>
    <xf numFmtId="177" fontId="10" fillId="0" borderId="62" xfId="4" applyNumberFormat="1" applyFont="1" applyFill="1" applyBorder="1" applyAlignment="1">
      <alignment vertical="center" wrapText="1"/>
    </xf>
    <xf numFmtId="0" fontId="37" fillId="0" borderId="0" xfId="0" applyFont="1" applyAlignment="1">
      <alignment horizontal="center"/>
    </xf>
    <xf numFmtId="0" fontId="81" fillId="0" borderId="26" xfId="0" applyFont="1" applyFill="1" applyBorder="1" applyAlignment="1">
      <alignment horizontal="left" vertical="center" wrapText="1"/>
    </xf>
    <xf numFmtId="0" fontId="65" fillId="0" borderId="26" xfId="0" applyFont="1" applyFill="1" applyBorder="1" applyAlignment="1">
      <alignment horizontal="left" vertical="center" wrapText="1"/>
    </xf>
    <xf numFmtId="0" fontId="82" fillId="0" borderId="26" xfId="8" applyFont="1" applyFill="1" applyBorder="1" applyAlignment="1">
      <alignment vertical="center" wrapText="1"/>
    </xf>
    <xf numFmtId="0" fontId="48" fillId="0" borderId="6" xfId="0" applyFont="1" applyFill="1" applyBorder="1"/>
    <xf numFmtId="0" fontId="24" fillId="0" borderId="8" xfId="0" applyFont="1" applyFill="1" applyBorder="1"/>
    <xf numFmtId="0" fontId="24" fillId="0" borderId="6" xfId="0" applyFont="1" applyFill="1" applyBorder="1" applyAlignment="1"/>
    <xf numFmtId="0" fontId="31" fillId="0" borderId="35" xfId="0" applyFont="1" applyFill="1" applyBorder="1"/>
    <xf numFmtId="183" fontId="10" fillId="0" borderId="3" xfId="4" applyNumberFormat="1" applyFont="1" applyFill="1" applyBorder="1" applyAlignment="1">
      <alignment horizontal="center" vertical="center"/>
    </xf>
    <xf numFmtId="0" fontId="37" fillId="0" borderId="0" xfId="0" applyFont="1" applyAlignment="1">
      <alignment horizontal="center"/>
    </xf>
    <xf numFmtId="177" fontId="28" fillId="0" borderId="5" xfId="0" applyNumberFormat="1" applyFont="1" applyFill="1" applyBorder="1"/>
    <xf numFmtId="184" fontId="12" fillId="0" borderId="0" xfId="0" applyNumberFormat="1" applyFont="1" applyBorder="1" applyAlignment="1">
      <alignment vertical="top"/>
    </xf>
    <xf numFmtId="184" fontId="5" fillId="0" borderId="0" xfId="0" applyNumberFormat="1" applyFont="1" applyBorder="1" applyAlignment="1">
      <alignment vertical="top"/>
    </xf>
    <xf numFmtId="184" fontId="5" fillId="0" borderId="0" xfId="0" applyNumberFormat="1" applyFont="1" applyFill="1" applyBorder="1" applyAlignment="1">
      <alignment vertical="top"/>
    </xf>
    <xf numFmtId="184" fontId="5" fillId="0" borderId="0" xfId="0" applyNumberFormat="1" applyFont="1" applyBorder="1"/>
    <xf numFmtId="41" fontId="31" fillId="0" borderId="5" xfId="0" applyNumberFormat="1" applyFont="1" applyFill="1" applyBorder="1"/>
    <xf numFmtId="184" fontId="12" fillId="0" borderId="28" xfId="0" applyNumberFormat="1" applyFont="1" applyBorder="1" applyAlignment="1">
      <alignment vertical="top"/>
    </xf>
    <xf numFmtId="0" fontId="28" fillId="0" borderId="8" xfId="0" applyFont="1" applyBorder="1" applyAlignment="1">
      <alignment horizontal="left"/>
    </xf>
    <xf numFmtId="0" fontId="5" fillId="0" borderId="8" xfId="0" applyFont="1" applyFill="1" applyBorder="1" applyAlignment="1"/>
    <xf numFmtId="0" fontId="31" fillId="0" borderId="8" xfId="0" applyFont="1" applyBorder="1" applyAlignment="1">
      <alignment horizontal="left" vertical="center"/>
    </xf>
    <xf numFmtId="0" fontId="31" fillId="0" borderId="0" xfId="0" applyFont="1" applyAlignment="1">
      <alignment horizontal="left" vertical="center"/>
    </xf>
    <xf numFmtId="0" fontId="31" fillId="0" borderId="8" xfId="0" applyFont="1" applyBorder="1" applyAlignment="1">
      <alignment vertical="center"/>
    </xf>
    <xf numFmtId="0" fontId="31" fillId="0" borderId="32" xfId="0" applyFont="1" applyBorder="1" applyAlignment="1">
      <alignment vertical="center"/>
    </xf>
    <xf numFmtId="0" fontId="82" fillId="0" borderId="3" xfId="0" applyFont="1" applyFill="1" applyBorder="1" applyAlignment="1">
      <alignment horizontal="left" vertical="center" wrapText="1"/>
    </xf>
    <xf numFmtId="177" fontId="5" fillId="0" borderId="63" xfId="4" applyNumberFormat="1" applyFont="1" applyFill="1" applyBorder="1" applyAlignment="1">
      <alignment horizontal="center" vertical="center"/>
    </xf>
    <xf numFmtId="49" fontId="10" fillId="0" borderId="17" xfId="4" applyNumberFormat="1" applyFont="1" applyFill="1" applyBorder="1" applyAlignment="1">
      <alignment horizontal="center" vertical="center"/>
    </xf>
    <xf numFmtId="0" fontId="28" fillId="0" borderId="5" xfId="0" applyFont="1" applyFill="1" applyBorder="1" applyAlignment="1">
      <alignment horizontal="left"/>
    </xf>
    <xf numFmtId="0" fontId="31" fillId="0" borderId="3" xfId="0" applyFont="1" applyBorder="1" applyAlignment="1">
      <alignment horizontal="center" vertical="center" wrapText="1"/>
    </xf>
    <xf numFmtId="0" fontId="31" fillId="0" borderId="39" xfId="0" applyFont="1" applyBorder="1" applyAlignment="1">
      <alignment horizontal="center" vertical="center" wrapText="1"/>
    </xf>
    <xf numFmtId="177" fontId="28" fillId="0" borderId="17" xfId="0" applyNumberFormat="1" applyFont="1" applyFill="1" applyBorder="1"/>
    <xf numFmtId="0" fontId="28" fillId="0" borderId="5" xfId="0" applyFont="1" applyFill="1" applyBorder="1" applyAlignment="1">
      <alignment horizontal="left"/>
    </xf>
    <xf numFmtId="0" fontId="31" fillId="0" borderId="14" xfId="0" applyFont="1" applyBorder="1" applyAlignment="1">
      <alignment vertical="center" wrapText="1"/>
    </xf>
    <xf numFmtId="0" fontId="24" fillId="0" borderId="16" xfId="0" applyFont="1" applyFill="1" applyBorder="1" applyAlignment="1"/>
    <xf numFmtId="0" fontId="31" fillId="0" borderId="0" xfId="0" applyFont="1" applyFill="1" applyBorder="1" applyAlignment="1">
      <alignment horizontal="left" wrapText="1"/>
    </xf>
    <xf numFmtId="0" fontId="24" fillId="0" borderId="0" xfId="0" applyFont="1" applyFill="1" applyBorder="1" applyAlignment="1"/>
    <xf numFmtId="0" fontId="28" fillId="0" borderId="0" xfId="0" applyFont="1" applyFill="1" applyBorder="1" applyAlignment="1">
      <alignment horizontal="left" wrapText="1"/>
    </xf>
    <xf numFmtId="0" fontId="5" fillId="0" borderId="3" xfId="0" applyFont="1" applyFill="1" applyBorder="1" applyAlignment="1">
      <alignment horizontal="left" vertical="center" wrapText="1"/>
    </xf>
    <xf numFmtId="177" fontId="8" fillId="0" borderId="3" xfId="4" applyNumberFormat="1" applyFont="1" applyFill="1" applyBorder="1" applyAlignment="1">
      <alignment horizontal="center" vertical="center"/>
    </xf>
    <xf numFmtId="177" fontId="8" fillId="0" borderId="39" xfId="4" applyNumberFormat="1" applyFont="1" applyFill="1" applyBorder="1" applyAlignment="1">
      <alignment vertical="center" wrapText="1"/>
    </xf>
    <xf numFmtId="0" fontId="37" fillId="0" borderId="0" xfId="0" applyFont="1" applyAlignment="1">
      <alignment horizontal="center"/>
    </xf>
    <xf numFmtId="0" fontId="28" fillId="0" borderId="0" xfId="0" applyFont="1" applyFill="1" applyBorder="1" applyAlignment="1">
      <alignment horizontal="left"/>
    </xf>
    <xf numFmtId="0" fontId="31" fillId="0" borderId="6" xfId="0" applyFont="1" applyFill="1" applyBorder="1" applyAlignment="1">
      <alignment horizontal="left"/>
    </xf>
    <xf numFmtId="0" fontId="24" fillId="0" borderId="6" xfId="0" applyFont="1" applyFill="1" applyBorder="1" applyAlignment="1">
      <alignment horizontal="left"/>
    </xf>
    <xf numFmtId="0" fontId="24" fillId="0" borderId="0" xfId="0" applyFont="1" applyFill="1" applyBorder="1" applyAlignment="1">
      <alignment horizontal="left"/>
    </xf>
    <xf numFmtId="0" fontId="25" fillId="0" borderId="6" xfId="0" applyFont="1" applyFill="1" applyBorder="1" applyAlignment="1">
      <alignment horizontal="left"/>
    </xf>
    <xf numFmtId="177" fontId="5" fillId="0" borderId="5" xfId="0" applyNumberFormat="1" applyFont="1" applyBorder="1" applyAlignment="1"/>
    <xf numFmtId="0" fontId="46" fillId="0" borderId="38" xfId="0" applyFont="1" applyBorder="1" applyAlignment="1">
      <alignment horizontal="center" vertical="top"/>
    </xf>
    <xf numFmtId="0" fontId="32" fillId="0" borderId="0" xfId="0" applyFont="1" applyAlignment="1">
      <alignment horizontal="center" vertical="top"/>
    </xf>
    <xf numFmtId="177" fontId="23" fillId="0" borderId="6" xfId="4" applyNumberFormat="1" applyFont="1" applyFill="1" applyBorder="1" applyAlignment="1">
      <alignment vertical="top"/>
    </xf>
    <xf numFmtId="0" fontId="30" fillId="0" borderId="0" xfId="0" applyFont="1" applyAlignment="1">
      <alignment vertical="top"/>
    </xf>
    <xf numFmtId="0" fontId="28" fillId="0" borderId="5" xfId="0" applyFont="1" applyFill="1" applyBorder="1" applyAlignment="1">
      <alignment vertical="top"/>
    </xf>
    <xf numFmtId="177" fontId="46" fillId="0" borderId="6" xfId="4" applyNumberFormat="1" applyFont="1" applyFill="1" applyBorder="1" applyAlignment="1">
      <alignment vertical="top"/>
    </xf>
    <xf numFmtId="49" fontId="80" fillId="0" borderId="6" xfId="4" applyNumberFormat="1" applyFont="1" applyFill="1" applyBorder="1" applyAlignment="1">
      <alignment horizontal="center" vertical="top"/>
    </xf>
    <xf numFmtId="0" fontId="46" fillId="0" borderId="24" xfId="0" applyFont="1" applyBorder="1" applyAlignment="1">
      <alignment horizontal="center" vertical="center"/>
    </xf>
    <xf numFmtId="0" fontId="28" fillId="0" borderId="45" xfId="0" applyFont="1" applyBorder="1" applyAlignment="1">
      <alignment horizontal="left" vertical="center"/>
    </xf>
    <xf numFmtId="0" fontId="38" fillId="0" borderId="8" xfId="0" applyFont="1" applyFill="1" applyBorder="1" applyAlignment="1">
      <alignment horizontal="left" vertical="center"/>
    </xf>
    <xf numFmtId="0" fontId="28" fillId="0" borderId="7" xfId="0" applyFont="1" applyFill="1" applyBorder="1" applyAlignment="1">
      <alignment horizontal="center" vertical="center"/>
    </xf>
    <xf numFmtId="0" fontId="46" fillId="0" borderId="5" xfId="0" applyFont="1" applyFill="1" applyBorder="1" applyAlignment="1">
      <alignment horizontal="center" vertical="center"/>
    </xf>
    <xf numFmtId="0" fontId="32" fillId="0" borderId="0" xfId="0" applyFont="1" applyAlignment="1">
      <alignment horizontal="center" vertical="center"/>
    </xf>
    <xf numFmtId="0" fontId="38" fillId="0" borderId="8" xfId="0" applyFont="1" applyFill="1" applyBorder="1" applyAlignment="1">
      <alignment vertical="center"/>
    </xf>
    <xf numFmtId="177" fontId="28" fillId="0" borderId="7" xfId="4" applyNumberFormat="1" applyFont="1" applyFill="1" applyBorder="1" applyAlignment="1">
      <alignment vertical="center"/>
    </xf>
    <xf numFmtId="0" fontId="24" fillId="0" borderId="0" xfId="0" applyFont="1" applyAlignment="1">
      <alignment vertical="center"/>
    </xf>
    <xf numFmtId="0" fontId="31" fillId="0" borderId="8" xfId="0" applyFont="1" applyFill="1" applyBorder="1" applyAlignment="1">
      <alignment vertical="center"/>
    </xf>
    <xf numFmtId="177" fontId="31" fillId="0" borderId="7" xfId="4" applyNumberFormat="1" applyFont="1" applyFill="1" applyBorder="1" applyAlignment="1">
      <alignment vertical="center"/>
    </xf>
    <xf numFmtId="177" fontId="31" fillId="4" borderId="5" xfId="4" applyNumberFormat="1" applyFont="1" applyFill="1" applyBorder="1" applyAlignment="1">
      <alignment vertical="center"/>
    </xf>
    <xf numFmtId="177" fontId="23" fillId="0" borderId="6" xfId="4" applyNumberFormat="1" applyFont="1" applyFill="1" applyBorder="1" applyAlignment="1">
      <alignment vertical="center"/>
    </xf>
    <xf numFmtId="49" fontId="40" fillId="0" borderId="6" xfId="4" applyNumberFormat="1" applyFont="1" applyFill="1" applyBorder="1" applyAlignment="1">
      <alignment horizontal="center" vertical="center"/>
    </xf>
    <xf numFmtId="0" fontId="31" fillId="0" borderId="7" xfId="0" applyFont="1" applyFill="1" applyBorder="1" applyAlignment="1">
      <alignment vertical="center"/>
    </xf>
    <xf numFmtId="0" fontId="31" fillId="0" borderId="5" xfId="0" applyFont="1" applyFill="1" applyBorder="1" applyAlignment="1">
      <alignment vertical="center"/>
    </xf>
    <xf numFmtId="0" fontId="33" fillId="0" borderId="8" xfId="0" applyFont="1" applyFill="1" applyBorder="1" applyAlignment="1">
      <alignment vertical="center"/>
    </xf>
    <xf numFmtId="0" fontId="31" fillId="0" borderId="5" xfId="0" applyFont="1" applyFill="1" applyBorder="1" applyAlignment="1">
      <alignment horizontal="left" vertical="center"/>
    </xf>
    <xf numFmtId="0" fontId="33" fillId="0" borderId="7" xfId="0" applyFont="1" applyBorder="1" applyAlignment="1">
      <alignment vertical="center"/>
    </xf>
    <xf numFmtId="0" fontId="33" fillId="0" borderId="5" xfId="0" applyFont="1" applyBorder="1" applyAlignment="1">
      <alignment vertical="center"/>
    </xf>
    <xf numFmtId="0" fontId="28" fillId="0" borderId="5" xfId="0" applyFont="1" applyFill="1" applyBorder="1" applyAlignment="1">
      <alignment horizontal="left" vertical="center"/>
    </xf>
    <xf numFmtId="177" fontId="28" fillId="4" borderId="5" xfId="4" applyNumberFormat="1" applyFont="1" applyFill="1" applyBorder="1" applyAlignment="1">
      <alignment vertical="center"/>
    </xf>
    <xf numFmtId="0" fontId="30" fillId="0" borderId="0" xfId="0" applyFont="1" applyAlignment="1">
      <alignment vertical="center"/>
    </xf>
    <xf numFmtId="0" fontId="33" fillId="0" borderId="8" xfId="0" applyFont="1" applyFill="1" applyBorder="1" applyAlignment="1">
      <alignment horizontal="left" vertical="center"/>
    </xf>
    <xf numFmtId="0" fontId="28" fillId="0" borderId="7" xfId="0" applyFont="1" applyFill="1" applyBorder="1" applyAlignment="1">
      <alignment horizontal="left" vertical="center"/>
    </xf>
    <xf numFmtId="0" fontId="28" fillId="0" borderId="7" xfId="0" applyFont="1" applyFill="1" applyBorder="1" applyAlignment="1">
      <alignment vertical="center"/>
    </xf>
    <xf numFmtId="0" fontId="28" fillId="0" borderId="5" xfId="0" applyFont="1" applyFill="1" applyBorder="1" applyAlignment="1">
      <alignment vertical="center"/>
    </xf>
    <xf numFmtId="41" fontId="31" fillId="4" borderId="5" xfId="4" applyNumberFormat="1" applyFont="1" applyFill="1" applyBorder="1" applyAlignment="1">
      <alignment vertical="center"/>
    </xf>
    <xf numFmtId="41" fontId="23" fillId="0" borderId="6" xfId="4" applyNumberFormat="1" applyFont="1" applyFill="1" applyBorder="1" applyAlignment="1">
      <alignment vertical="center"/>
    </xf>
    <xf numFmtId="177" fontId="9" fillId="0" borderId="6" xfId="4" applyNumberFormat="1" applyFont="1" applyFill="1" applyBorder="1" applyAlignment="1">
      <alignment vertical="center"/>
    </xf>
    <xf numFmtId="0" fontId="31" fillId="0" borderId="17" xfId="0" applyFont="1" applyFill="1" applyBorder="1" applyAlignment="1">
      <alignment vertical="center"/>
    </xf>
    <xf numFmtId="177" fontId="9" fillId="0" borderId="35" xfId="4" applyNumberFormat="1" applyFont="1" applyFill="1" applyBorder="1" applyAlignment="1">
      <alignment vertical="center"/>
    </xf>
    <xf numFmtId="49" fontId="40" fillId="0" borderId="35" xfId="4" applyNumberFormat="1" applyFont="1" applyFill="1" applyBorder="1" applyAlignment="1">
      <alignment horizontal="center" vertical="center"/>
    </xf>
    <xf numFmtId="0" fontId="28" fillId="0" borderId="43" xfId="0" applyFont="1" applyFill="1" applyBorder="1" applyAlignment="1">
      <alignment vertical="center"/>
    </xf>
    <xf numFmtId="177" fontId="23" fillId="0" borderId="49" xfId="4" applyNumberFormat="1" applyFont="1" applyFill="1" applyBorder="1" applyAlignment="1">
      <alignment vertical="center"/>
    </xf>
    <xf numFmtId="49" fontId="40" fillId="0" borderId="49" xfId="4" applyNumberFormat="1" applyFont="1" applyFill="1" applyBorder="1" applyAlignment="1">
      <alignment horizontal="center" vertical="center"/>
    </xf>
    <xf numFmtId="0" fontId="28" fillId="0" borderId="7" xfId="0" applyFont="1" applyFill="1" applyBorder="1" applyAlignment="1">
      <alignment horizontal="left" vertical="center" wrapText="1"/>
    </xf>
    <xf numFmtId="177" fontId="28" fillId="4" borderId="21" xfId="4" applyNumberFormat="1" applyFont="1" applyFill="1" applyBorder="1"/>
    <xf numFmtId="177" fontId="31" fillId="4" borderId="21" xfId="4" applyNumberFormat="1" applyFont="1" applyFill="1" applyBorder="1" applyAlignment="1">
      <alignment vertical="center"/>
    </xf>
    <xf numFmtId="41" fontId="31" fillId="4" borderId="21" xfId="4" applyNumberFormat="1" applyFont="1" applyFill="1" applyBorder="1" applyAlignment="1">
      <alignment vertical="center"/>
    </xf>
    <xf numFmtId="41" fontId="31" fillId="4" borderId="21" xfId="0" applyNumberFormat="1" applyFont="1" applyFill="1" applyBorder="1" applyAlignment="1">
      <alignment vertical="center"/>
    </xf>
    <xf numFmtId="177" fontId="28" fillId="4" borderId="37" xfId="4" applyNumberFormat="1" applyFont="1" applyFill="1" applyBorder="1" applyAlignment="1">
      <alignment vertical="center"/>
    </xf>
    <xf numFmtId="177" fontId="28" fillId="4" borderId="21" xfId="4" applyNumberFormat="1" applyFont="1" applyFill="1" applyBorder="1" applyAlignment="1">
      <alignment vertical="center"/>
    </xf>
    <xf numFmtId="177" fontId="28" fillId="4" borderId="22" xfId="4" applyNumberFormat="1" applyFont="1" applyFill="1" applyBorder="1" applyAlignment="1">
      <alignment vertical="center"/>
    </xf>
    <xf numFmtId="41" fontId="31" fillId="4" borderId="5" xfId="0" applyNumberFormat="1" applyFont="1" applyFill="1" applyBorder="1" applyAlignment="1">
      <alignment vertical="center"/>
    </xf>
    <xf numFmtId="177" fontId="31" fillId="5" borderId="21" xfId="4" applyNumberFormat="1" applyFont="1" applyFill="1" applyBorder="1" applyAlignment="1">
      <alignment vertical="center"/>
    </xf>
    <xf numFmtId="41" fontId="31" fillId="5" borderId="21" xfId="0" applyNumberFormat="1" applyFont="1" applyFill="1" applyBorder="1" applyAlignment="1">
      <alignment vertical="center"/>
    </xf>
    <xf numFmtId="41" fontId="31" fillId="5" borderId="5" xfId="0" applyNumberFormat="1" applyFont="1" applyFill="1" applyBorder="1" applyAlignment="1">
      <alignment vertical="center"/>
    </xf>
    <xf numFmtId="41" fontId="31" fillId="4" borderId="0" xfId="0" applyNumberFormat="1" applyFont="1" applyFill="1"/>
    <xf numFmtId="0" fontId="31" fillId="4" borderId="0" xfId="0" applyFont="1" applyFill="1"/>
    <xf numFmtId="0" fontId="83" fillId="2" borderId="7" xfId="0" applyFont="1" applyFill="1" applyBorder="1" applyAlignment="1">
      <alignment vertical="center" wrapText="1"/>
    </xf>
    <xf numFmtId="177" fontId="31" fillId="0" borderId="42" xfId="4" applyNumberFormat="1" applyFont="1" applyFill="1" applyBorder="1"/>
    <xf numFmtId="177" fontId="31" fillId="0" borderId="43" xfId="4" applyNumberFormat="1" applyFont="1" applyFill="1" applyBorder="1"/>
    <xf numFmtId="0" fontId="65" fillId="0" borderId="43" xfId="0" applyFont="1" applyFill="1" applyBorder="1"/>
    <xf numFmtId="177" fontId="28" fillId="0" borderId="43" xfId="0" applyNumberFormat="1" applyFont="1" applyFill="1" applyBorder="1"/>
    <xf numFmtId="177" fontId="31" fillId="0" borderId="46" xfId="4" applyNumberFormat="1" applyFont="1" applyFill="1" applyBorder="1"/>
    <xf numFmtId="0" fontId="31" fillId="0" borderId="43" xfId="0" applyFont="1" applyFill="1" applyBorder="1"/>
    <xf numFmtId="0" fontId="65" fillId="0" borderId="17" xfId="0" applyFont="1" applyFill="1" applyBorder="1" applyAlignment="1">
      <alignment wrapText="1"/>
    </xf>
    <xf numFmtId="177" fontId="28" fillId="0" borderId="17" xfId="4" applyNumberFormat="1" applyFont="1" applyFill="1" applyBorder="1"/>
    <xf numFmtId="0" fontId="28" fillId="0" borderId="17" xfId="0" applyFont="1" applyFill="1" applyBorder="1"/>
    <xf numFmtId="177" fontId="28" fillId="0" borderId="18" xfId="4" applyNumberFormat="1" applyFont="1" applyFill="1" applyBorder="1"/>
    <xf numFmtId="177" fontId="31" fillId="5" borderId="21" xfId="4" applyNumberFormat="1" applyFont="1" applyFill="1" applyBorder="1"/>
    <xf numFmtId="177" fontId="28" fillId="5" borderId="22" xfId="0" applyNumberFormat="1" applyFont="1" applyFill="1" applyBorder="1"/>
    <xf numFmtId="177" fontId="28" fillId="4" borderId="22" xfId="4" applyNumberFormat="1" applyFont="1" applyFill="1" applyBorder="1"/>
    <xf numFmtId="0" fontId="31" fillId="0" borderId="17" xfId="0" applyFont="1" applyFill="1" applyBorder="1"/>
    <xf numFmtId="41" fontId="83" fillId="4" borderId="5" xfId="4" applyNumberFormat="1" applyFont="1" applyFill="1" applyBorder="1" applyAlignment="1">
      <alignment vertical="center"/>
    </xf>
    <xf numFmtId="41" fontId="83" fillId="4" borderId="5" xfId="0" applyNumberFormat="1" applyFont="1" applyFill="1" applyBorder="1" applyAlignment="1">
      <alignment vertical="center"/>
    </xf>
    <xf numFmtId="41" fontId="83" fillId="0" borderId="5" xfId="4" applyNumberFormat="1" applyFont="1" applyFill="1" applyBorder="1" applyAlignment="1">
      <alignment vertical="center"/>
    </xf>
    <xf numFmtId="177" fontId="87" fillId="0" borderId="16" xfId="4" applyNumberFormat="1" applyFont="1" applyFill="1" applyBorder="1"/>
    <xf numFmtId="0" fontId="31" fillId="0" borderId="31" xfId="0" applyFont="1" applyBorder="1" applyAlignment="1">
      <alignment horizontal="center" vertical="center"/>
    </xf>
    <xf numFmtId="0" fontId="24" fillId="0" borderId="39" xfId="0" applyFont="1" applyBorder="1" applyAlignment="1">
      <alignment horizontal="center" vertical="center" wrapText="1"/>
    </xf>
    <xf numFmtId="177" fontId="9" fillId="0" borderId="7" xfId="4" applyNumberFormat="1" applyFont="1" applyFill="1" applyBorder="1"/>
    <xf numFmtId="43" fontId="9" fillId="0" borderId="5" xfId="0" applyNumberFormat="1" applyFont="1" applyFill="1" applyBorder="1"/>
    <xf numFmtId="177" fontId="28" fillId="0" borderId="11" xfId="4" applyNumberFormat="1" applyFont="1" applyFill="1" applyBorder="1"/>
    <xf numFmtId="177" fontId="27" fillId="0" borderId="16" xfId="4" applyNumberFormat="1" applyFont="1" applyFill="1" applyBorder="1"/>
    <xf numFmtId="0" fontId="27" fillId="0" borderId="0" xfId="0" applyFont="1"/>
    <xf numFmtId="0" fontId="5" fillId="0" borderId="19" xfId="0" applyFont="1" applyBorder="1" applyAlignment="1">
      <alignment horizontal="left" vertical="center"/>
    </xf>
    <xf numFmtId="0" fontId="5" fillId="0" borderId="0" xfId="0" applyFont="1" applyBorder="1" applyAlignment="1">
      <alignment horizontal="left" vertical="center"/>
    </xf>
    <xf numFmtId="0" fontId="1" fillId="0" borderId="0" xfId="0" applyFont="1"/>
    <xf numFmtId="0" fontId="1" fillId="0" borderId="0" xfId="0" applyFont="1" applyBorder="1"/>
    <xf numFmtId="49" fontId="72" fillId="4" borderId="11" xfId="0" applyNumberFormat="1" applyFont="1" applyFill="1" applyBorder="1" applyAlignment="1">
      <alignment horizontal="left" vertical="center"/>
    </xf>
    <xf numFmtId="49" fontId="72" fillId="4" borderId="11" xfId="0" applyNumberFormat="1" applyFont="1" applyFill="1" applyBorder="1" applyAlignment="1">
      <alignment horizontal="left"/>
    </xf>
    <xf numFmtId="0" fontId="72" fillId="4" borderId="11" xfId="0" applyFont="1" applyFill="1" applyBorder="1" applyAlignment="1">
      <alignment horizontal="left"/>
    </xf>
    <xf numFmtId="0" fontId="33" fillId="0" borderId="23" xfId="0" applyFont="1" applyFill="1" applyBorder="1" applyAlignment="1">
      <alignment horizontal="left" vertical="center"/>
    </xf>
    <xf numFmtId="0" fontId="33" fillId="0" borderId="27" xfId="0" applyFont="1" applyFill="1" applyBorder="1" applyAlignment="1">
      <alignment horizontal="left" vertical="center"/>
    </xf>
    <xf numFmtId="0" fontId="30" fillId="0" borderId="0" xfId="0" applyFont="1" applyBorder="1" applyAlignment="1">
      <alignment vertical="center"/>
    </xf>
    <xf numFmtId="0" fontId="28" fillId="0" borderId="43" xfId="0" applyFont="1" applyFill="1" applyBorder="1" applyAlignment="1">
      <alignment vertical="top" wrapText="1"/>
    </xf>
    <xf numFmtId="177" fontId="31" fillId="0" borderId="43" xfId="4" applyNumberFormat="1" applyFont="1" applyFill="1" applyBorder="1" applyAlignment="1">
      <alignment vertical="top"/>
    </xf>
    <xf numFmtId="177" fontId="31" fillId="0" borderId="46" xfId="4" applyNumberFormat="1" applyFont="1" applyFill="1" applyBorder="1" applyAlignment="1">
      <alignment vertical="top"/>
    </xf>
    <xf numFmtId="0" fontId="28" fillId="0" borderId="17" xfId="0" applyFont="1" applyBorder="1" applyAlignment="1">
      <alignment horizontal="center" vertical="center"/>
    </xf>
    <xf numFmtId="177" fontId="28" fillId="0" borderId="17" xfId="0" applyNumberFormat="1" applyFont="1" applyFill="1" applyBorder="1" applyAlignment="1">
      <alignment vertical="center"/>
    </xf>
    <xf numFmtId="177" fontId="28" fillId="0" borderId="17" xfId="0" applyNumberFormat="1" applyFont="1" applyBorder="1" applyAlignment="1">
      <alignment vertical="center"/>
    </xf>
    <xf numFmtId="177" fontId="28" fillId="0" borderId="18" xfId="0" applyNumberFormat="1" applyFont="1" applyBorder="1" applyAlignment="1">
      <alignment vertical="center"/>
    </xf>
    <xf numFmtId="0" fontId="5" fillId="0" borderId="47" xfId="0" applyFont="1" applyFill="1" applyBorder="1" applyAlignment="1">
      <alignment vertical="center"/>
    </xf>
    <xf numFmtId="0" fontId="5" fillId="0" borderId="3" xfId="0" applyFont="1" applyFill="1" applyBorder="1" applyAlignment="1">
      <alignment horizontal="center" vertical="center" shrinkToFit="1"/>
    </xf>
    <xf numFmtId="0" fontId="5" fillId="0" borderId="24" xfId="0" applyFont="1" applyFill="1" applyBorder="1" applyAlignment="1">
      <alignment vertical="center"/>
    </xf>
    <xf numFmtId="177" fontId="5" fillId="0" borderId="5" xfId="4" applyNumberFormat="1" applyFont="1" applyFill="1" applyBorder="1" applyAlignment="1">
      <alignment vertical="center"/>
    </xf>
    <xf numFmtId="0" fontId="5" fillId="0" borderId="4" xfId="0" applyFont="1" applyFill="1" applyBorder="1" applyAlignment="1">
      <alignment vertical="center"/>
    </xf>
    <xf numFmtId="177" fontId="5" fillId="0" borderId="4" xfId="4" applyNumberFormat="1" applyFont="1" applyFill="1" applyBorder="1" applyAlignment="1">
      <alignment vertical="center"/>
    </xf>
    <xf numFmtId="0" fontId="8" fillId="0" borderId="0" xfId="0" applyFont="1" applyFill="1"/>
    <xf numFmtId="0" fontId="15" fillId="0" borderId="0" xfId="0" applyFont="1" applyFill="1"/>
    <xf numFmtId="177" fontId="5" fillId="0" borderId="0" xfId="4" applyNumberFormat="1" applyFont="1" applyFill="1" applyBorder="1" applyAlignment="1">
      <alignment vertical="center"/>
    </xf>
    <xf numFmtId="0" fontId="5" fillId="0" borderId="15" xfId="0" applyFont="1" applyFill="1" applyBorder="1" applyAlignment="1">
      <alignment vertical="center"/>
    </xf>
    <xf numFmtId="0" fontId="5" fillId="0" borderId="24" xfId="0" applyFont="1" applyFill="1" applyBorder="1" applyAlignment="1">
      <alignment horizontal="center" vertical="center" shrinkToFit="1"/>
    </xf>
    <xf numFmtId="0" fontId="12" fillId="0" borderId="24" xfId="0" applyFont="1" applyFill="1" applyBorder="1" applyAlignment="1"/>
    <xf numFmtId="0" fontId="5" fillId="0" borderId="24" xfId="0" applyFont="1" applyFill="1" applyBorder="1" applyAlignment="1"/>
    <xf numFmtId="0" fontId="5" fillId="0" borderId="4" xfId="0" applyFont="1" applyFill="1" applyBorder="1" applyAlignment="1"/>
    <xf numFmtId="0" fontId="5" fillId="0" borderId="3" xfId="0" applyFont="1" applyFill="1" applyBorder="1" applyAlignment="1">
      <alignment horizontal="center"/>
    </xf>
    <xf numFmtId="177" fontId="5" fillId="0" borderId="3" xfId="0" applyNumberFormat="1" applyFont="1" applyFill="1" applyBorder="1" applyAlignment="1"/>
    <xf numFmtId="41" fontId="5" fillId="0" borderId="6" xfId="4" applyNumberFormat="1" applyFont="1" applyFill="1" applyBorder="1"/>
    <xf numFmtId="0" fontId="31" fillId="0" borderId="14" xfId="0" applyFont="1" applyFill="1" applyBorder="1"/>
    <xf numFmtId="49" fontId="31" fillId="0" borderId="14" xfId="0" applyNumberFormat="1" applyFont="1" applyFill="1" applyBorder="1" applyAlignment="1">
      <alignment wrapText="1"/>
    </xf>
    <xf numFmtId="49" fontId="31" fillId="0" borderId="14" xfId="0" applyNumberFormat="1" applyFont="1" applyFill="1" applyBorder="1" applyAlignment="1">
      <alignment vertical="top" wrapText="1"/>
    </xf>
    <xf numFmtId="49" fontId="31" fillId="0" borderId="14" xfId="0" applyNumberFormat="1" applyFont="1" applyFill="1" applyBorder="1" applyAlignment="1">
      <alignment horizontal="left" vertical="top" wrapText="1"/>
    </xf>
    <xf numFmtId="0" fontId="31" fillId="0" borderId="14" xfId="0" applyFont="1" applyFill="1" applyBorder="1" applyAlignment="1">
      <alignment wrapText="1"/>
    </xf>
    <xf numFmtId="0" fontId="31" fillId="0" borderId="14" xfId="0" applyFont="1" applyFill="1" applyBorder="1" applyAlignment="1">
      <alignment horizontal="left"/>
    </xf>
    <xf numFmtId="178" fontId="5" fillId="0" borderId="5" xfId="0" applyNumberFormat="1" applyFont="1" applyFill="1" applyBorder="1" applyAlignment="1">
      <alignment horizontal="center"/>
    </xf>
    <xf numFmtId="177" fontId="5" fillId="0" borderId="5" xfId="0" applyNumberFormat="1" applyFont="1" applyFill="1" applyBorder="1" applyAlignment="1">
      <alignment horizontal="center"/>
    </xf>
    <xf numFmtId="178" fontId="19" fillId="0" borderId="24" xfId="0" applyNumberFormat="1" applyFont="1" applyFill="1" applyBorder="1" applyAlignment="1">
      <alignment horizontal="center" vertical="center" shrinkToFit="1"/>
    </xf>
    <xf numFmtId="178" fontId="11" fillId="0" borderId="36" xfId="0" applyNumberFormat="1" applyFont="1" applyFill="1" applyBorder="1" applyAlignment="1">
      <alignment horizontal="center" vertical="center" shrinkToFit="1"/>
    </xf>
    <xf numFmtId="177" fontId="12" fillId="0" borderId="24" xfId="0" applyNumberFormat="1" applyFont="1" applyFill="1" applyBorder="1" applyAlignment="1">
      <alignment horizontal="center" vertical="center" shrinkToFit="1"/>
    </xf>
    <xf numFmtId="178" fontId="11" fillId="0" borderId="24" xfId="0" applyNumberFormat="1" applyFont="1" applyFill="1" applyBorder="1" applyAlignment="1">
      <alignment horizontal="center" vertical="center" shrinkToFit="1"/>
    </xf>
    <xf numFmtId="177" fontId="12" fillId="0" borderId="30" xfId="0" applyNumberFormat="1" applyFont="1" applyFill="1" applyBorder="1" applyAlignment="1">
      <alignment horizontal="center" vertical="center" shrinkToFit="1"/>
    </xf>
    <xf numFmtId="0" fontId="12" fillId="0" borderId="5" xfId="0" applyFont="1" applyFill="1" applyBorder="1" applyAlignment="1">
      <alignment horizontal="center" vertical="center"/>
    </xf>
    <xf numFmtId="177" fontId="12" fillId="0" borderId="5" xfId="0" applyNumberFormat="1" applyFont="1" applyFill="1" applyBorder="1" applyAlignment="1">
      <alignment horizontal="center" vertical="center" shrinkToFit="1"/>
    </xf>
    <xf numFmtId="177" fontId="89" fillId="0" borderId="6" xfId="0" applyNumberFormat="1" applyFont="1" applyFill="1" applyBorder="1" applyAlignment="1">
      <alignment horizontal="center" vertical="center" shrinkToFit="1"/>
    </xf>
    <xf numFmtId="177" fontId="9" fillId="0" borderId="6" xfId="0" applyNumberFormat="1" applyFont="1" applyFill="1" applyBorder="1" applyAlignment="1">
      <alignment horizontal="center" vertical="center" shrinkToFit="1"/>
    </xf>
    <xf numFmtId="177" fontId="12" fillId="0" borderId="14" xfId="0" applyNumberFormat="1" applyFont="1" applyFill="1" applyBorder="1" applyAlignment="1">
      <alignment horizontal="center" vertical="center" shrinkToFit="1"/>
    </xf>
    <xf numFmtId="177" fontId="12" fillId="0" borderId="5" xfId="4" applyNumberFormat="1" applyFont="1" applyFill="1" applyBorder="1" applyAlignment="1">
      <alignment vertical="center"/>
    </xf>
    <xf numFmtId="177" fontId="12" fillId="0" borderId="5" xfId="4" applyNumberFormat="1" applyFont="1" applyFill="1" applyBorder="1" applyAlignment="1">
      <alignment vertical="center" shrinkToFit="1"/>
    </xf>
    <xf numFmtId="177" fontId="9" fillId="0" borderId="6" xfId="4" applyNumberFormat="1" applyFont="1" applyFill="1" applyBorder="1" applyAlignment="1">
      <alignment vertical="center" shrinkToFit="1"/>
    </xf>
    <xf numFmtId="49" fontId="89" fillId="0" borderId="6" xfId="4" applyNumberFormat="1" applyFont="1" applyFill="1" applyBorder="1" applyAlignment="1">
      <alignment horizontal="center" vertical="center" shrinkToFit="1"/>
    </xf>
    <xf numFmtId="177" fontId="12" fillId="0" borderId="14" xfId="4" applyNumberFormat="1" applyFont="1" applyFill="1" applyBorder="1" applyAlignment="1">
      <alignment vertical="center" shrinkToFit="1"/>
    </xf>
    <xf numFmtId="49" fontId="89" fillId="0" borderId="6" xfId="4" applyNumberFormat="1" applyFont="1" applyFill="1" applyBorder="1" applyAlignment="1">
      <alignment horizontal="center" vertical="center"/>
    </xf>
    <xf numFmtId="177" fontId="5" fillId="0" borderId="14" xfId="4" applyNumberFormat="1" applyFont="1" applyFill="1" applyBorder="1" applyAlignment="1">
      <alignment vertical="center"/>
    </xf>
    <xf numFmtId="0" fontId="5" fillId="0" borderId="5" xfId="0" applyFont="1" applyFill="1" applyBorder="1" applyAlignment="1">
      <alignment horizontal="left" vertical="center"/>
    </xf>
    <xf numFmtId="177" fontId="5" fillId="0" borderId="5" xfId="4" applyNumberFormat="1" applyFont="1" applyFill="1" applyBorder="1" applyAlignment="1">
      <alignment vertical="center" shrinkToFit="1"/>
    </xf>
    <xf numFmtId="177" fontId="5" fillId="0" borderId="14" xfId="4" applyNumberFormat="1" applyFont="1" applyFill="1" applyBorder="1" applyAlignment="1">
      <alignment vertical="center" shrinkToFit="1"/>
    </xf>
    <xf numFmtId="0" fontId="3" fillId="0" borderId="5" xfId="0" applyFont="1" applyFill="1" applyBorder="1" applyAlignment="1">
      <alignment vertical="center"/>
    </xf>
    <xf numFmtId="0" fontId="12" fillId="0" borderId="5" xfId="0" applyFont="1" applyFill="1" applyBorder="1" applyAlignment="1">
      <alignment horizontal="left" vertical="center"/>
    </xf>
    <xf numFmtId="177" fontId="12" fillId="0" borderId="14" xfId="4" applyNumberFormat="1" applyFont="1" applyFill="1" applyBorder="1" applyAlignment="1">
      <alignment vertical="center"/>
    </xf>
    <xf numFmtId="41" fontId="31" fillId="0" borderId="14" xfId="4" applyNumberFormat="1" applyFont="1" applyFill="1" applyBorder="1" applyAlignment="1">
      <alignment vertical="center"/>
    </xf>
    <xf numFmtId="177" fontId="5" fillId="0" borderId="17" xfId="4" applyNumberFormat="1" applyFont="1" applyFill="1" applyBorder="1" applyAlignment="1">
      <alignment vertical="center"/>
    </xf>
    <xf numFmtId="177" fontId="5" fillId="0" borderId="18" xfId="4" applyNumberFormat="1" applyFont="1" applyFill="1" applyBorder="1" applyAlignment="1">
      <alignment vertical="center"/>
    </xf>
    <xf numFmtId="177" fontId="12" fillId="0" borderId="43" xfId="4" applyNumberFormat="1" applyFont="1" applyFill="1" applyBorder="1" applyAlignment="1">
      <alignment vertical="center"/>
    </xf>
    <xf numFmtId="177" fontId="12" fillId="0" borderId="46" xfId="4" applyNumberFormat="1" applyFont="1" applyFill="1" applyBorder="1" applyAlignment="1">
      <alignment vertical="center"/>
    </xf>
    <xf numFmtId="177" fontId="28" fillId="0" borderId="5" xfId="4" applyNumberFormat="1" applyFont="1" applyFill="1" applyBorder="1" applyAlignment="1">
      <alignment vertical="top"/>
    </xf>
    <xf numFmtId="177" fontId="28" fillId="0" borderId="14" xfId="4" applyNumberFormat="1" applyFont="1" applyFill="1" applyBorder="1" applyAlignment="1">
      <alignment vertical="top"/>
    </xf>
    <xf numFmtId="177" fontId="28" fillId="0" borderId="17" xfId="0" applyNumberFormat="1" applyFont="1" applyFill="1" applyBorder="1" applyAlignment="1">
      <alignment vertical="center" shrinkToFit="1"/>
    </xf>
    <xf numFmtId="177" fontId="28" fillId="0" borderId="18" xfId="0" applyNumberFormat="1" applyFont="1" applyFill="1" applyBorder="1" applyAlignment="1">
      <alignment vertical="center" shrinkToFit="1"/>
    </xf>
    <xf numFmtId="177" fontId="28" fillId="0" borderId="37" xfId="0" applyNumberFormat="1" applyFont="1" applyFill="1" applyBorder="1" applyAlignment="1">
      <alignment horizontal="center"/>
    </xf>
    <xf numFmtId="177" fontId="28" fillId="0" borderId="24" xfId="0" applyNumberFormat="1" applyFont="1" applyFill="1" applyBorder="1" applyAlignment="1">
      <alignment horizontal="center"/>
    </xf>
    <xf numFmtId="177" fontId="12" fillId="0" borderId="21" xfId="4" applyNumberFormat="1" applyFont="1" applyFill="1" applyBorder="1"/>
    <xf numFmtId="177" fontId="12" fillId="0" borderId="5" xfId="4" applyNumberFormat="1" applyFont="1" applyFill="1" applyBorder="1"/>
    <xf numFmtId="177" fontId="5" fillId="0" borderId="21" xfId="4" applyNumberFormat="1" applyFont="1" applyFill="1" applyBorder="1"/>
    <xf numFmtId="177" fontId="28" fillId="0" borderId="11" xfId="0" applyNumberFormat="1" applyFont="1" applyFill="1" applyBorder="1" applyAlignment="1">
      <alignment horizontal="center"/>
    </xf>
    <xf numFmtId="177" fontId="12" fillId="0" borderId="11" xfId="4" applyNumberFormat="1" applyFont="1" applyFill="1" applyBorder="1"/>
    <xf numFmtId="177" fontId="5" fillId="0" borderId="11" xfId="4" applyNumberFormat="1" applyFont="1" applyFill="1" applyBorder="1"/>
    <xf numFmtId="177" fontId="28" fillId="0" borderId="17" xfId="0" applyNumberFormat="1" applyFont="1" applyFill="1" applyBorder="1" applyAlignment="1">
      <alignment horizontal="center"/>
    </xf>
    <xf numFmtId="177" fontId="28" fillId="0" borderId="18" xfId="0" applyNumberFormat="1" applyFont="1" applyFill="1" applyBorder="1"/>
    <xf numFmtId="177" fontId="28" fillId="0" borderId="22" xfId="0" applyNumberFormat="1" applyFont="1" applyFill="1" applyBorder="1" applyAlignment="1"/>
    <xf numFmtId="177" fontId="28" fillId="0" borderId="17" xfId="0" applyNumberFormat="1" applyFont="1" applyFill="1" applyBorder="1" applyAlignment="1"/>
    <xf numFmtId="177" fontId="28" fillId="0" borderId="18" xfId="0" applyNumberFormat="1" applyFont="1" applyFill="1" applyBorder="1" applyAlignment="1"/>
    <xf numFmtId="177" fontId="12" fillId="0" borderId="21" xfId="4" applyNumberFormat="1" applyFont="1" applyFill="1" applyBorder="1" applyAlignment="1"/>
    <xf numFmtId="177" fontId="12" fillId="0" borderId="5" xfId="4" applyNumberFormat="1" applyFont="1" applyFill="1" applyBorder="1" applyAlignment="1"/>
    <xf numFmtId="177" fontId="5" fillId="0" borderId="21" xfId="4" applyNumberFormat="1" applyFont="1" applyFill="1" applyBorder="1" applyAlignment="1"/>
    <xf numFmtId="177" fontId="31" fillId="0" borderId="21" xfId="0" applyNumberFormat="1" applyFont="1" applyFill="1" applyBorder="1" applyAlignment="1">
      <alignment horizontal="left"/>
    </xf>
    <xf numFmtId="177" fontId="31" fillId="0" borderId="5" xfId="0" applyNumberFormat="1" applyFont="1" applyFill="1" applyBorder="1" applyAlignment="1">
      <alignment horizontal="left"/>
    </xf>
    <xf numFmtId="177" fontId="28" fillId="0" borderId="21" xfId="0" applyNumberFormat="1" applyFont="1" applyFill="1" applyBorder="1" applyAlignment="1"/>
    <xf numFmtId="177" fontId="28" fillId="0" borderId="5" xfId="0" applyNumberFormat="1" applyFont="1" applyFill="1" applyBorder="1" applyAlignment="1"/>
    <xf numFmtId="177" fontId="28" fillId="0" borderId="11" xfId="4" applyNumberFormat="1" applyFont="1" applyFill="1" applyBorder="1" applyAlignment="1"/>
    <xf numFmtId="177" fontId="5" fillId="0" borderId="11" xfId="4" applyNumberFormat="1" applyFont="1" applyFill="1" applyBorder="1" applyAlignment="1"/>
    <xf numFmtId="177" fontId="31" fillId="0" borderId="14" xfId="0" applyNumberFormat="1" applyFont="1" applyFill="1" applyBorder="1" applyAlignment="1">
      <alignment horizontal="left"/>
    </xf>
    <xf numFmtId="177" fontId="31" fillId="0" borderId="14" xfId="0" applyNumberFormat="1" applyFont="1" applyFill="1" applyBorder="1" applyAlignment="1"/>
    <xf numFmtId="177" fontId="12" fillId="0" borderId="5" xfId="4" applyNumberFormat="1" applyFont="1" applyFill="1" applyBorder="1" applyAlignment="1">
      <alignment horizontal="center" vertical="top" wrapText="1"/>
    </xf>
    <xf numFmtId="177" fontId="5" fillId="0" borderId="5" xfId="4" applyNumberFormat="1" applyFont="1" applyFill="1" applyBorder="1" applyAlignment="1">
      <alignment horizontal="center" wrapText="1"/>
    </xf>
    <xf numFmtId="0" fontId="5" fillId="0" borderId="5" xfId="0" applyFont="1" applyFill="1" applyBorder="1" applyAlignment="1">
      <alignment horizontal="justify" wrapText="1"/>
    </xf>
    <xf numFmtId="177" fontId="5" fillId="0" borderId="5" xfId="0" applyNumberFormat="1" applyFont="1" applyFill="1" applyBorder="1" applyAlignment="1">
      <alignment horizontal="center" wrapText="1"/>
    </xf>
    <xf numFmtId="178" fontId="5" fillId="0" borderId="48" xfId="0" applyNumberFormat="1" applyFont="1" applyFill="1" applyBorder="1" applyAlignment="1">
      <alignment vertical="center"/>
    </xf>
    <xf numFmtId="178" fontId="12" fillId="0" borderId="5" xfId="0" applyNumberFormat="1" applyFont="1" applyFill="1" applyBorder="1" applyAlignment="1">
      <alignment vertical="center"/>
    </xf>
    <xf numFmtId="178" fontId="12" fillId="0" borderId="14" xfId="0" applyNumberFormat="1" applyFont="1" applyFill="1" applyBorder="1" applyAlignment="1">
      <alignment vertical="center"/>
    </xf>
    <xf numFmtId="177" fontId="28" fillId="0" borderId="37" xfId="4" applyNumberFormat="1" applyFont="1" applyFill="1" applyBorder="1" applyAlignment="1">
      <alignment vertical="center"/>
    </xf>
    <xf numFmtId="177" fontId="28" fillId="0" borderId="22" xfId="4" applyNumberFormat="1" applyFont="1" applyFill="1" applyBorder="1" applyAlignment="1">
      <alignment vertical="center"/>
    </xf>
    <xf numFmtId="41" fontId="31" fillId="0" borderId="0" xfId="0" applyNumberFormat="1" applyFont="1" applyFill="1"/>
    <xf numFmtId="178" fontId="12" fillId="0" borderId="5" xfId="0" applyNumberFormat="1" applyFont="1" applyFill="1" applyBorder="1" applyAlignment="1">
      <alignment vertical="top" shrinkToFit="1"/>
    </xf>
    <xf numFmtId="184" fontId="12" fillId="0" borderId="0" xfId="0" applyNumberFormat="1" applyFont="1" applyFill="1" applyBorder="1" applyAlignment="1">
      <alignment vertical="top"/>
    </xf>
    <xf numFmtId="177" fontId="5" fillId="0" borderId="5" xfId="4" applyNumberFormat="1" applyFont="1" applyFill="1" applyBorder="1" applyAlignment="1">
      <alignment vertical="top" shrinkToFit="1"/>
    </xf>
    <xf numFmtId="177" fontId="12" fillId="0" borderId="5" xfId="4" applyNumberFormat="1" applyFont="1" applyFill="1" applyBorder="1" applyAlignment="1">
      <alignment vertical="top" shrinkToFit="1"/>
    </xf>
    <xf numFmtId="177" fontId="28" fillId="0" borderId="22" xfId="0" applyNumberFormat="1" applyFont="1" applyFill="1" applyBorder="1" applyAlignment="1">
      <alignment vertical="center"/>
    </xf>
    <xf numFmtId="177" fontId="28" fillId="0" borderId="37" xfId="4" applyNumberFormat="1" applyFont="1" applyFill="1" applyBorder="1"/>
    <xf numFmtId="177" fontId="28" fillId="0" borderId="24" xfId="4" applyNumberFormat="1" applyFont="1" applyFill="1" applyBorder="1"/>
    <xf numFmtId="177" fontId="28" fillId="0" borderId="42" xfId="4" applyNumberFormat="1" applyFont="1" applyFill="1" applyBorder="1" applyAlignment="1">
      <alignment vertical="top"/>
    </xf>
    <xf numFmtId="177" fontId="28" fillId="0" borderId="43" xfId="4" applyNumberFormat="1" applyFont="1" applyFill="1" applyBorder="1" applyAlignment="1">
      <alignment vertical="top"/>
    </xf>
    <xf numFmtId="177" fontId="28" fillId="0" borderId="24" xfId="0" applyNumberFormat="1" applyFont="1" applyFill="1" applyBorder="1"/>
    <xf numFmtId="177" fontId="31" fillId="0" borderId="5" xfId="0" applyNumberFormat="1" applyFont="1" applyFill="1" applyBorder="1"/>
    <xf numFmtId="177" fontId="28" fillId="0" borderId="43" xfId="0" applyNumberFormat="1" applyFont="1" applyFill="1" applyBorder="1" applyAlignment="1">
      <alignment vertical="top"/>
    </xf>
    <xf numFmtId="41" fontId="31" fillId="0" borderId="14" xfId="4" applyNumberFormat="1" applyFont="1" applyFill="1" applyBorder="1"/>
    <xf numFmtId="177" fontId="83" fillId="0" borderId="5" xfId="4" applyNumberFormat="1" applyFont="1" applyFill="1" applyBorder="1"/>
    <xf numFmtId="0" fontId="5" fillId="0" borderId="0" xfId="0" applyFont="1" applyBorder="1" applyAlignment="1">
      <alignment vertical="center"/>
    </xf>
    <xf numFmtId="0" fontId="5" fillId="0" borderId="11" xfId="0" applyFont="1" applyBorder="1" applyAlignment="1">
      <alignment vertical="center"/>
    </xf>
    <xf numFmtId="177" fontId="5" fillId="0" borderId="3" xfId="4" applyNumberFormat="1" applyFont="1" applyFill="1" applyBorder="1"/>
    <xf numFmtId="0" fontId="5" fillId="0" borderId="24" xfId="0" applyFont="1" applyFill="1" applyBorder="1"/>
    <xf numFmtId="177" fontId="5" fillId="0" borderId="24" xfId="4" applyNumberFormat="1" applyFont="1" applyFill="1" applyBorder="1"/>
    <xf numFmtId="177" fontId="5" fillId="0" borderId="7" xfId="4" applyNumberFormat="1" applyFont="1" applyFill="1" applyBorder="1"/>
    <xf numFmtId="41" fontId="5" fillId="0" borderId="37" xfId="5" applyFont="1" applyFill="1" applyBorder="1"/>
    <xf numFmtId="177" fontId="12" fillId="0" borderId="24" xfId="4" applyNumberFormat="1" applyFont="1" applyFill="1" applyBorder="1" applyAlignment="1">
      <alignment vertical="top" shrinkToFit="1"/>
    </xf>
    <xf numFmtId="0" fontId="17" fillId="0" borderId="0" xfId="0" applyFont="1" applyAlignment="1">
      <alignment horizontal="center" vertical="center"/>
    </xf>
    <xf numFmtId="0" fontId="19" fillId="0" borderId="0" xfId="0" applyFont="1" applyAlignment="1">
      <alignment horizontal="center" vertical="center"/>
    </xf>
    <xf numFmtId="0" fontId="7" fillId="0" borderId="0" xfId="0" applyFont="1" applyAlignment="1">
      <alignment horizontal="center" vertical="center"/>
    </xf>
    <xf numFmtId="0" fontId="58" fillId="0" borderId="0" xfId="0" applyFont="1" applyBorder="1" applyAlignment="1">
      <alignment horizontal="center" vertical="center"/>
    </xf>
    <xf numFmtId="0" fontId="21" fillId="0" borderId="0" xfId="0" applyFont="1" applyBorder="1" applyAlignment="1">
      <alignment horizontal="center" vertical="center"/>
    </xf>
    <xf numFmtId="0" fontId="17" fillId="0" borderId="0" xfId="0" applyFont="1" applyAlignment="1">
      <alignment horizontal="center"/>
    </xf>
    <xf numFmtId="0" fontId="16" fillId="0" borderId="0" xfId="0" applyFont="1" applyAlignment="1">
      <alignment horizontal="center"/>
    </xf>
    <xf numFmtId="0" fontId="19" fillId="0" borderId="0" xfId="0" applyFont="1" applyAlignment="1">
      <alignment horizontal="center"/>
    </xf>
    <xf numFmtId="0" fontId="7" fillId="0" borderId="0" xfId="0" applyFont="1" applyAlignment="1">
      <alignment horizontal="center"/>
    </xf>
    <xf numFmtId="0" fontId="22" fillId="0" borderId="0" xfId="0" applyFont="1" applyAlignment="1">
      <alignment horizontal="center" vertical="top"/>
    </xf>
    <xf numFmtId="0" fontId="0" fillId="0" borderId="0" xfId="0" applyAlignment="1">
      <alignment horizontal="center" vertical="top"/>
    </xf>
    <xf numFmtId="0" fontId="15" fillId="0" borderId="0" xfId="0" applyFont="1" applyAlignment="1">
      <alignment horizontal="center"/>
    </xf>
    <xf numFmtId="0" fontId="26" fillId="0" borderId="0" xfId="0" applyFont="1" applyAlignment="1">
      <alignment horizontal="center" vertical="center"/>
    </xf>
    <xf numFmtId="0" fontId="0" fillId="0" borderId="0" xfId="0" applyAlignment="1">
      <alignment horizontal="center" vertical="center"/>
    </xf>
    <xf numFmtId="0" fontId="22" fillId="0" borderId="0" xfId="0" applyFont="1" applyAlignment="1">
      <alignment horizontal="center" vertical="center"/>
    </xf>
    <xf numFmtId="0" fontId="59" fillId="0" borderId="0" xfId="0" applyFont="1" applyAlignment="1">
      <alignment horizontal="center" vertical="center"/>
    </xf>
    <xf numFmtId="0" fontId="50" fillId="0" borderId="0" xfId="0" applyFont="1" applyAlignment="1">
      <alignment horizontal="center" vertical="top"/>
    </xf>
    <xf numFmtId="0" fontId="5" fillId="0" borderId="0" xfId="0" applyFont="1" applyAlignment="1">
      <alignment horizontal="right"/>
    </xf>
    <xf numFmtId="0" fontId="12" fillId="0" borderId="0" xfId="0" applyFont="1" applyAlignment="1">
      <alignment horizontal="center" vertical="center"/>
    </xf>
    <xf numFmtId="0" fontId="58" fillId="0" borderId="0" xfId="0" applyFont="1" applyAlignment="1">
      <alignment horizontal="center" vertical="center"/>
    </xf>
    <xf numFmtId="0" fontId="8" fillId="0" borderId="19" xfId="0" applyFont="1" applyBorder="1" applyAlignment="1">
      <alignment horizontal="left" vertical="center"/>
    </xf>
    <xf numFmtId="0" fontId="5" fillId="0" borderId="19" xfId="0" applyFont="1" applyBorder="1" applyAlignment="1">
      <alignment horizontal="left" vertical="center"/>
    </xf>
    <xf numFmtId="0" fontId="8" fillId="0" borderId="0" xfId="0" applyFont="1" applyBorder="1" applyAlignment="1">
      <alignment horizontal="left" vertical="center"/>
    </xf>
    <xf numFmtId="0" fontId="5" fillId="0" borderId="0" xfId="0" applyFont="1" applyBorder="1" applyAlignment="1">
      <alignment horizontal="left" vertical="center"/>
    </xf>
    <xf numFmtId="0" fontId="17" fillId="0" borderId="0" xfId="0" applyFont="1" applyFill="1" applyAlignment="1">
      <alignment horizontal="center" vertical="center"/>
    </xf>
    <xf numFmtId="0" fontId="66" fillId="0" borderId="0" xfId="0" applyFont="1" applyFill="1" applyAlignment="1">
      <alignment horizontal="center" vertical="center"/>
    </xf>
    <xf numFmtId="0" fontId="16" fillId="0" borderId="0" xfId="0" applyFont="1" applyFill="1" applyAlignment="1">
      <alignment horizontal="center" vertical="center"/>
    </xf>
    <xf numFmtId="0" fontId="19" fillId="0" borderId="0" xfId="0" applyFont="1" applyFill="1" applyAlignment="1">
      <alignment horizontal="center" vertical="center"/>
    </xf>
    <xf numFmtId="0" fontId="7" fillId="0" borderId="0" xfId="0" applyFont="1" applyFill="1" applyAlignment="1">
      <alignment horizontal="center" vertical="center"/>
    </xf>
    <xf numFmtId="0" fontId="5" fillId="0" borderId="50"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51" xfId="0" applyFont="1" applyFill="1" applyBorder="1" applyAlignment="1">
      <alignment horizontal="center" vertical="center" wrapText="1"/>
    </xf>
    <xf numFmtId="0" fontId="13" fillId="0" borderId="41" xfId="0" applyFont="1" applyFill="1" applyBorder="1" applyAlignment="1">
      <alignment horizontal="center" vertical="center" wrapText="1"/>
    </xf>
    <xf numFmtId="0" fontId="5" fillId="0" borderId="51" xfId="0" applyFont="1" applyFill="1" applyBorder="1" applyAlignment="1">
      <alignment horizontal="center" vertical="center"/>
    </xf>
    <xf numFmtId="0" fontId="5" fillId="0" borderId="4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0" xfId="0" applyFont="1" applyBorder="1" applyAlignment="1">
      <alignment horizontal="left" vertical="center" wrapText="1"/>
    </xf>
    <xf numFmtId="0" fontId="5" fillId="0" borderId="11" xfId="0" applyFont="1" applyBorder="1" applyAlignment="1">
      <alignment horizontal="left" vertical="center" wrapText="1"/>
    </xf>
    <xf numFmtId="0" fontId="5" fillId="0" borderId="0" xfId="0" applyFont="1" applyBorder="1" applyAlignment="1">
      <alignment vertical="center" wrapText="1"/>
    </xf>
    <xf numFmtId="0" fontId="5" fillId="0" borderId="11" xfId="0" applyFont="1" applyBorder="1" applyAlignment="1">
      <alignment vertical="center" wrapText="1"/>
    </xf>
    <xf numFmtId="0" fontId="73" fillId="0" borderId="0" xfId="0" applyFont="1" applyAlignment="1">
      <alignment horizontal="center" vertical="center"/>
    </xf>
    <xf numFmtId="0" fontId="77" fillId="0" borderId="0" xfId="0" applyFont="1" applyAlignment="1"/>
    <xf numFmtId="0" fontId="5" fillId="0" borderId="0" xfId="0" applyFont="1" applyBorder="1" applyAlignment="1">
      <alignment vertical="center"/>
    </xf>
    <xf numFmtId="0" fontId="5" fillId="0" borderId="11" xfId="0" applyFont="1" applyBorder="1" applyAlignment="1">
      <alignment vertical="center"/>
    </xf>
    <xf numFmtId="0" fontId="5" fillId="0" borderId="0" xfId="0" applyFont="1" applyBorder="1" applyAlignment="1">
      <alignment horizontal="left" wrapText="1"/>
    </xf>
    <xf numFmtId="0" fontId="5" fillId="0" borderId="11" xfId="0" applyFont="1" applyBorder="1" applyAlignment="1">
      <alignment horizontal="left" wrapText="1"/>
    </xf>
    <xf numFmtId="0" fontId="31" fillId="0" borderId="19" xfId="0" applyFont="1" applyBorder="1" applyAlignment="1">
      <alignment horizontal="left" wrapText="1"/>
    </xf>
    <xf numFmtId="0" fontId="31" fillId="0" borderId="33" xfId="0" applyFont="1" applyBorder="1" applyAlignment="1">
      <alignment horizontal="left" wrapText="1"/>
    </xf>
    <xf numFmtId="0" fontId="5" fillId="0" borderId="0" xfId="0" applyFont="1" applyBorder="1" applyAlignment="1">
      <alignment wrapText="1"/>
    </xf>
    <xf numFmtId="0" fontId="5" fillId="0" borderId="11" xfId="0" applyFont="1" applyBorder="1" applyAlignment="1">
      <alignment wrapText="1"/>
    </xf>
    <xf numFmtId="0" fontId="37" fillId="0" borderId="0" xfId="0" applyFont="1" applyBorder="1" applyAlignment="1">
      <alignment horizontal="center" vertical="center"/>
    </xf>
    <xf numFmtId="0" fontId="0" fillId="0" borderId="0" xfId="0" applyAlignment="1"/>
    <xf numFmtId="0" fontId="42" fillId="0" borderId="0" xfId="0" applyFont="1" applyAlignment="1">
      <alignment horizontal="center" vertical="center"/>
    </xf>
    <xf numFmtId="0" fontId="45" fillId="0" borderId="0" xfId="0" applyFont="1" applyAlignment="1">
      <alignment horizontal="center" vertical="center"/>
    </xf>
    <xf numFmtId="0" fontId="67" fillId="0" borderId="0" xfId="0" applyFont="1" applyAlignment="1"/>
    <xf numFmtId="0" fontId="31" fillId="0" borderId="0" xfId="0" applyFont="1" applyBorder="1" applyAlignment="1">
      <alignment horizontal="left" vertical="center" wrapText="1"/>
    </xf>
    <xf numFmtId="0" fontId="31" fillId="0" borderId="11" xfId="0" applyFont="1" applyBorder="1" applyAlignment="1">
      <alignment horizontal="left" vertical="center" wrapText="1"/>
    </xf>
    <xf numFmtId="0" fontId="7" fillId="0" borderId="0" xfId="0" applyFont="1" applyFill="1" applyAlignment="1">
      <alignment horizontal="center"/>
    </xf>
    <xf numFmtId="0" fontId="17" fillId="0" borderId="0" xfId="0" applyFont="1" applyFill="1" applyAlignment="1">
      <alignment horizontal="center"/>
    </xf>
    <xf numFmtId="0" fontId="16" fillId="0" borderId="0" xfId="0" applyFont="1" applyFill="1" applyAlignment="1">
      <alignment horizontal="center"/>
    </xf>
    <xf numFmtId="0" fontId="19" fillId="0" borderId="0" xfId="0" applyFont="1" applyFill="1" applyAlignment="1">
      <alignment horizontal="center"/>
    </xf>
    <xf numFmtId="0" fontId="8" fillId="0" borderId="51"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50" xfId="0" applyFont="1" applyFill="1" applyBorder="1" applyAlignment="1">
      <alignment horizontal="center" vertical="center"/>
    </xf>
    <xf numFmtId="0" fontId="5" fillId="0" borderId="46" xfId="0" applyFont="1" applyFill="1" applyBorder="1" applyAlignment="1">
      <alignment horizontal="center" vertical="center"/>
    </xf>
    <xf numFmtId="0" fontId="0" fillId="0" borderId="48" xfId="0" applyFill="1" applyBorder="1" applyAlignment="1">
      <alignment horizontal="center" vertical="center"/>
    </xf>
    <xf numFmtId="0" fontId="5" fillId="0" borderId="49" xfId="0" applyFont="1" applyFill="1" applyBorder="1" applyAlignment="1">
      <alignment horizontal="center" vertical="center"/>
    </xf>
    <xf numFmtId="0" fontId="5" fillId="0" borderId="44" xfId="0" applyFont="1" applyFill="1" applyBorder="1" applyAlignment="1">
      <alignment horizontal="center" vertical="center"/>
    </xf>
    <xf numFmtId="0" fontId="0" fillId="0" borderId="52" xfId="0" applyFill="1" applyBorder="1" applyAlignment="1">
      <alignment horizontal="center" vertical="center"/>
    </xf>
    <xf numFmtId="0" fontId="0" fillId="0" borderId="25" xfId="0" applyFill="1" applyBorder="1" applyAlignment="1">
      <alignment horizontal="center" vertical="center"/>
    </xf>
    <xf numFmtId="0" fontId="73" fillId="0" borderId="0" xfId="0" applyFont="1" applyAlignment="1">
      <alignment horizontal="center"/>
    </xf>
    <xf numFmtId="0" fontId="45" fillId="0" borderId="0" xfId="0" applyFont="1" applyAlignment="1">
      <alignment horizontal="center"/>
    </xf>
    <xf numFmtId="0" fontId="42" fillId="0" borderId="0" xfId="0" applyFont="1" applyAlignment="1">
      <alignment horizontal="center"/>
    </xf>
    <xf numFmtId="0" fontId="37" fillId="0" borderId="0" xfId="0" applyFont="1" applyAlignment="1">
      <alignment horizontal="center"/>
    </xf>
    <xf numFmtId="0" fontId="31" fillId="0" borderId="19" xfId="0" applyFont="1" applyFill="1" applyBorder="1" applyAlignment="1">
      <alignment horizontal="left" vertical="top" wrapText="1"/>
    </xf>
    <xf numFmtId="0" fontId="0" fillId="0" borderId="19" xfId="0" applyBorder="1" applyAlignment="1">
      <alignment horizontal="left" vertical="top" wrapText="1"/>
    </xf>
    <xf numFmtId="0" fontId="31" fillId="0" borderId="42" xfId="0" applyFont="1" applyBorder="1" applyAlignment="1">
      <alignment horizontal="center" vertical="center"/>
    </xf>
    <xf numFmtId="0" fontId="32" fillId="0" borderId="53" xfId="0" applyFont="1" applyBorder="1" applyAlignment="1">
      <alignment horizontal="center" vertical="center"/>
    </xf>
    <xf numFmtId="41" fontId="31" fillId="0" borderId="49" xfId="0" applyNumberFormat="1" applyFont="1" applyBorder="1" applyAlignment="1">
      <alignment horizontal="center" vertical="center"/>
    </xf>
    <xf numFmtId="41" fontId="32" fillId="0" borderId="52" xfId="0" applyNumberFormat="1" applyFont="1" applyBorder="1" applyAlignment="1">
      <alignment vertical="center"/>
    </xf>
    <xf numFmtId="0" fontId="31" fillId="0" borderId="46" xfId="0" applyFont="1" applyBorder="1" applyAlignment="1">
      <alignment horizontal="center" vertical="center"/>
    </xf>
    <xf numFmtId="0" fontId="32" fillId="0" borderId="48" xfId="0" applyFont="1" applyBorder="1" applyAlignment="1">
      <alignment horizontal="center" vertical="center"/>
    </xf>
    <xf numFmtId="0" fontId="31" fillId="0" borderId="14" xfId="0" applyFont="1" applyFill="1" applyBorder="1" applyAlignment="1">
      <alignment horizontal="left" wrapText="1"/>
    </xf>
    <xf numFmtId="0" fontId="73" fillId="2" borderId="0" xfId="0" applyFont="1" applyFill="1" applyAlignment="1">
      <alignment horizontal="center"/>
    </xf>
    <xf numFmtId="0" fontId="45" fillId="2" borderId="0" xfId="0" applyFont="1" applyFill="1" applyAlignment="1">
      <alignment horizontal="center"/>
    </xf>
    <xf numFmtId="0" fontId="42" fillId="2" borderId="0" xfId="0" applyFont="1" applyFill="1" applyAlignment="1">
      <alignment horizontal="center"/>
    </xf>
    <xf numFmtId="0" fontId="37" fillId="2" borderId="0" xfId="0" applyFont="1" applyFill="1" applyAlignment="1">
      <alignment horizontal="center"/>
    </xf>
    <xf numFmtId="0" fontId="35" fillId="2" borderId="8" xfId="0" applyFont="1" applyFill="1" applyBorder="1" applyAlignment="1">
      <alignment horizontal="center" wrapText="1"/>
    </xf>
    <xf numFmtId="0" fontId="7" fillId="0" borderId="7" xfId="0" applyFont="1" applyBorder="1" applyAlignment="1">
      <alignment horizontal="center" wrapText="1"/>
    </xf>
    <xf numFmtId="0" fontId="24" fillId="2" borderId="51" xfId="0" applyFont="1" applyFill="1" applyBorder="1" applyAlignment="1">
      <alignment horizontal="center" vertical="center"/>
    </xf>
    <xf numFmtId="0" fontId="31" fillId="2" borderId="54" xfId="0" applyFont="1" applyFill="1" applyBorder="1" applyAlignment="1">
      <alignment horizontal="center" vertical="center"/>
    </xf>
    <xf numFmtId="0" fontId="31" fillId="2" borderId="40" xfId="0" applyFont="1" applyFill="1" applyBorder="1" applyAlignment="1">
      <alignment horizontal="center" vertical="center"/>
    </xf>
    <xf numFmtId="0" fontId="31" fillId="2" borderId="32" xfId="0" applyFont="1" applyFill="1" applyBorder="1" applyAlignment="1">
      <alignment horizontal="center" vertical="center"/>
    </xf>
    <xf numFmtId="0" fontId="31" fillId="2" borderId="44" xfId="0" applyFont="1" applyFill="1" applyBorder="1" applyAlignment="1">
      <alignment horizontal="center" vertical="center"/>
    </xf>
    <xf numFmtId="0" fontId="31" fillId="2" borderId="55" xfId="0" applyFont="1" applyFill="1" applyBorder="1" applyAlignment="1">
      <alignment horizontal="center" vertical="center"/>
    </xf>
    <xf numFmtId="0" fontId="31" fillId="2" borderId="25" xfId="0" applyFont="1" applyFill="1" applyBorder="1" applyAlignment="1">
      <alignment horizontal="center" vertical="center"/>
    </xf>
    <xf numFmtId="0" fontId="31" fillId="2" borderId="4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46" xfId="0" applyFont="1" applyFill="1" applyBorder="1" applyAlignment="1">
      <alignment horizontal="center" vertical="center"/>
    </xf>
    <xf numFmtId="0" fontId="31" fillId="2" borderId="48" xfId="0" applyFont="1" applyFill="1" applyBorder="1" applyAlignment="1">
      <alignment horizontal="center" vertical="center"/>
    </xf>
    <xf numFmtId="0" fontId="30" fillId="0" borderId="0" xfId="0" applyFont="1" applyBorder="1" applyAlignment="1">
      <alignment vertical="top" wrapText="1"/>
    </xf>
    <xf numFmtId="0" fontId="31" fillId="0" borderId="32" xfId="0" applyFont="1" applyBorder="1" applyAlignment="1">
      <alignment horizontal="center" vertical="center"/>
    </xf>
    <xf numFmtId="0" fontId="31" fillId="0" borderId="44" xfId="0" applyFont="1" applyBorder="1" applyAlignment="1">
      <alignment horizontal="center" vertical="center"/>
    </xf>
    <xf numFmtId="0" fontId="32" fillId="0" borderId="55" xfId="0" applyFont="1" applyBorder="1" applyAlignment="1">
      <alignment horizontal="center" vertical="center"/>
    </xf>
    <xf numFmtId="0" fontId="32" fillId="0" borderId="25" xfId="0" applyFont="1" applyBorder="1" applyAlignment="1">
      <alignment horizontal="center" vertical="center"/>
    </xf>
    <xf numFmtId="0" fontId="31" fillId="0" borderId="43" xfId="0" applyFont="1" applyBorder="1" applyAlignment="1">
      <alignment horizontal="center" vertical="center"/>
    </xf>
    <xf numFmtId="0" fontId="32" fillId="0" borderId="4" xfId="0" applyFont="1" applyBorder="1" applyAlignment="1">
      <alignment horizontal="center" vertical="center"/>
    </xf>
    <xf numFmtId="0" fontId="31" fillId="0" borderId="46" xfId="0" applyFont="1" applyBorder="1" applyAlignment="1">
      <alignment horizontal="distributed" vertical="center"/>
    </xf>
    <xf numFmtId="0" fontId="32" fillId="0" borderId="48" xfId="0" applyFont="1" applyBorder="1" applyAlignment="1">
      <alignment horizontal="distributed" vertical="center"/>
    </xf>
    <xf numFmtId="0" fontId="33" fillId="0" borderId="8" xfId="0" applyFont="1" applyFill="1" applyBorder="1" applyAlignment="1">
      <alignment horizontal="left" vertical="center" wrapText="1"/>
    </xf>
    <xf numFmtId="0" fontId="33" fillId="0" borderId="7" xfId="0" applyFont="1" applyFill="1" applyBorder="1" applyAlignment="1">
      <alignment horizontal="left" vertical="center" wrapText="1"/>
    </xf>
    <xf numFmtId="0" fontId="28" fillId="0" borderId="23" xfId="0" applyFont="1" applyFill="1" applyBorder="1" applyAlignment="1">
      <alignment horizontal="center" vertical="center"/>
    </xf>
    <xf numFmtId="0" fontId="29" fillId="0" borderId="27" xfId="0" applyFont="1" applyFill="1" applyBorder="1" applyAlignment="1">
      <alignment horizontal="center" vertical="center"/>
    </xf>
    <xf numFmtId="0" fontId="31" fillId="0" borderId="9" xfId="0" applyFont="1" applyBorder="1" applyAlignment="1">
      <alignment horizontal="center" vertical="center"/>
    </xf>
    <xf numFmtId="0" fontId="31" fillId="0" borderId="31" xfId="0" applyFont="1" applyBorder="1" applyAlignment="1">
      <alignment horizontal="center" vertical="center"/>
    </xf>
    <xf numFmtId="0" fontId="31" fillId="0" borderId="34" xfId="0" applyFont="1" applyBorder="1" applyAlignment="1">
      <alignment horizontal="center" vertical="center"/>
    </xf>
    <xf numFmtId="0" fontId="31" fillId="0" borderId="3" xfId="0" applyFont="1" applyBorder="1" applyAlignment="1">
      <alignment horizontal="center" vertical="center"/>
    </xf>
    <xf numFmtId="0" fontId="33" fillId="0" borderId="8" xfId="0" applyFont="1" applyFill="1" applyBorder="1" applyAlignment="1">
      <alignment horizontal="left" vertical="center"/>
    </xf>
    <xf numFmtId="0" fontId="31" fillId="0" borderId="7" xfId="0" applyFont="1" applyFill="1" applyBorder="1" applyAlignment="1">
      <alignment horizontal="left" vertical="center"/>
    </xf>
    <xf numFmtId="0" fontId="31" fillId="0" borderId="8" xfId="0" applyFont="1" applyFill="1" applyBorder="1" applyAlignment="1">
      <alignment horizontal="left" vertical="center"/>
    </xf>
    <xf numFmtId="0" fontId="38" fillId="0" borderId="8" xfId="0" applyFont="1" applyFill="1" applyBorder="1" applyAlignment="1">
      <alignment horizontal="left" vertical="center"/>
    </xf>
    <xf numFmtId="0" fontId="28" fillId="0" borderId="7" xfId="0" applyFont="1" applyFill="1" applyBorder="1" applyAlignment="1">
      <alignment horizontal="left" vertical="center"/>
    </xf>
    <xf numFmtId="0" fontId="28" fillId="0" borderId="8" xfId="0" applyFont="1" applyFill="1" applyBorder="1" applyAlignment="1">
      <alignment horizontal="left" vertical="top" wrapText="1"/>
    </xf>
    <xf numFmtId="0" fontId="0" fillId="0" borderId="7" xfId="0" applyBorder="1" applyAlignment="1">
      <alignment vertical="top"/>
    </xf>
    <xf numFmtId="0" fontId="28" fillId="0" borderId="32" xfId="0" applyFont="1" applyFill="1" applyBorder="1" applyAlignment="1">
      <alignment horizontal="left" vertical="center" wrapText="1"/>
    </xf>
    <xf numFmtId="0" fontId="28" fillId="0" borderId="44" xfId="0" applyFont="1" applyFill="1" applyBorder="1" applyAlignment="1">
      <alignment horizontal="left" vertical="center" wrapText="1"/>
    </xf>
    <xf numFmtId="0" fontId="33" fillId="0" borderId="7" xfId="0" applyFont="1" applyFill="1" applyBorder="1" applyAlignment="1">
      <alignment horizontal="left" vertical="center"/>
    </xf>
    <xf numFmtId="0" fontId="31" fillId="0" borderId="10" xfId="0" applyFont="1" applyBorder="1" applyAlignment="1">
      <alignment horizontal="center" vertical="center"/>
    </xf>
    <xf numFmtId="0" fontId="33" fillId="0" borderId="12" xfId="0" applyFont="1" applyBorder="1" applyAlignment="1">
      <alignment horizontal="right"/>
    </xf>
    <xf numFmtId="0" fontId="31" fillId="0" borderId="12" xfId="0" applyFont="1" applyBorder="1" applyAlignment="1">
      <alignment horizontal="right"/>
    </xf>
    <xf numFmtId="0" fontId="37" fillId="0" borderId="0" xfId="0" applyFont="1" applyAlignment="1">
      <alignment horizontal="center" vertical="center"/>
    </xf>
    <xf numFmtId="0" fontId="23" fillId="0" borderId="31" xfId="0" applyFont="1" applyBorder="1" applyAlignment="1">
      <alignment horizontal="center" vertical="center"/>
    </xf>
    <xf numFmtId="0" fontId="23" fillId="0" borderId="3" xfId="0" applyFont="1" applyBorder="1" applyAlignment="1">
      <alignment horizontal="center" vertical="center"/>
    </xf>
    <xf numFmtId="0" fontId="24" fillId="0" borderId="8" xfId="0" applyFont="1" applyFill="1" applyBorder="1" applyAlignment="1"/>
    <xf numFmtId="0" fontId="5" fillId="0" borderId="11" xfId="0" applyFont="1" applyBorder="1" applyAlignment="1"/>
    <xf numFmtId="0" fontId="28" fillId="0" borderId="8" xfId="0" applyFont="1" applyFill="1" applyBorder="1" applyAlignment="1">
      <alignment horizontal="left" wrapText="1"/>
    </xf>
    <xf numFmtId="0" fontId="28" fillId="0" borderId="11" xfId="0" applyFont="1" applyFill="1" applyBorder="1" applyAlignment="1">
      <alignment horizontal="left" wrapText="1"/>
    </xf>
    <xf numFmtId="0" fontId="31" fillId="0" borderId="23" xfId="0" applyFont="1" applyFill="1" applyBorder="1" applyAlignment="1">
      <alignment horizontal="center"/>
    </xf>
    <xf numFmtId="0" fontId="30" fillId="0" borderId="13" xfId="0" applyFont="1" applyFill="1" applyBorder="1" applyAlignment="1">
      <alignment horizontal="center"/>
    </xf>
    <xf numFmtId="0" fontId="31" fillId="0" borderId="8" xfId="0" applyFont="1" applyFill="1" applyBorder="1" applyAlignment="1">
      <alignment horizontal="left" wrapText="1"/>
    </xf>
    <xf numFmtId="0" fontId="0" fillId="0" borderId="11" xfId="0" applyBorder="1" applyAlignment="1">
      <alignment horizontal="left" wrapText="1"/>
    </xf>
    <xf numFmtId="0" fontId="8" fillId="0" borderId="11" xfId="0" applyFont="1" applyBorder="1" applyAlignment="1"/>
    <xf numFmtId="0" fontId="28" fillId="0" borderId="6" xfId="0" applyFont="1" applyFill="1" applyBorder="1" applyAlignment="1">
      <alignment horizontal="left"/>
    </xf>
    <xf numFmtId="0" fontId="28" fillId="0" borderId="0" xfId="0" applyFont="1" applyFill="1" applyBorder="1" applyAlignment="1">
      <alignment horizontal="left"/>
    </xf>
    <xf numFmtId="0" fontId="73" fillId="0" borderId="0" xfId="0" applyFont="1" applyFill="1" applyAlignment="1">
      <alignment horizontal="center" vertical="center"/>
    </xf>
    <xf numFmtId="0" fontId="45" fillId="0" borderId="0" xfId="0" applyFont="1" applyFill="1" applyAlignment="1">
      <alignment horizontal="center" vertical="center"/>
    </xf>
    <xf numFmtId="0" fontId="42" fillId="0" borderId="0" xfId="0" applyFont="1" applyFill="1" applyAlignment="1">
      <alignment horizontal="center" vertical="center"/>
    </xf>
    <xf numFmtId="0" fontId="37" fillId="0" borderId="0" xfId="0" applyFont="1" applyFill="1" applyAlignment="1">
      <alignment horizontal="center" vertical="center"/>
    </xf>
    <xf numFmtId="0" fontId="24" fillId="0" borderId="12" xfId="0" applyFont="1" applyFill="1" applyBorder="1" applyAlignment="1">
      <alignment horizontal="right"/>
    </xf>
    <xf numFmtId="0" fontId="28" fillId="0" borderId="56" xfId="0" applyFont="1" applyFill="1" applyBorder="1" applyAlignment="1">
      <alignment horizontal="center" vertical="center" wrapText="1"/>
    </xf>
    <xf numFmtId="0" fontId="29" fillId="0" borderId="20" xfId="0" applyFont="1" applyFill="1" applyBorder="1" applyAlignment="1">
      <alignment horizontal="center" vertical="center"/>
    </xf>
    <xf numFmtId="0" fontId="28" fillId="0" borderId="32" xfId="0" applyFont="1" applyFill="1" applyBorder="1" applyAlignment="1">
      <alignment horizontal="center" vertical="center"/>
    </xf>
    <xf numFmtId="0" fontId="28" fillId="0" borderId="33" xfId="0" applyFont="1" applyFill="1" applyBorder="1" applyAlignment="1">
      <alignment horizontal="center" vertical="center"/>
    </xf>
    <xf numFmtId="0" fontId="29" fillId="0" borderId="23" xfId="0" applyFont="1" applyFill="1" applyBorder="1" applyAlignment="1">
      <alignment horizontal="center" vertical="center"/>
    </xf>
    <xf numFmtId="0" fontId="29" fillId="0" borderId="13" xfId="0" applyFont="1" applyFill="1" applyBorder="1" applyAlignment="1">
      <alignment horizontal="center" vertical="center"/>
    </xf>
    <xf numFmtId="0" fontId="28" fillId="0" borderId="56" xfId="0" applyFont="1" applyFill="1" applyBorder="1" applyAlignment="1">
      <alignment horizontal="center" vertical="center"/>
    </xf>
    <xf numFmtId="0" fontId="31" fillId="0" borderId="6" xfId="0" applyFont="1" applyFill="1" applyBorder="1" applyAlignment="1">
      <alignment horizontal="left"/>
    </xf>
    <xf numFmtId="0" fontId="31" fillId="0" borderId="0" xfId="0" applyFont="1" applyFill="1" applyBorder="1" applyAlignment="1">
      <alignment horizontal="left"/>
    </xf>
    <xf numFmtId="0" fontId="24" fillId="0" borderId="6" xfId="0" applyFont="1" applyFill="1" applyBorder="1" applyAlignment="1">
      <alignment horizontal="left"/>
    </xf>
    <xf numFmtId="0" fontId="24" fillId="0" borderId="0" xfId="0" applyFont="1" applyFill="1" applyBorder="1" applyAlignment="1">
      <alignment horizontal="left"/>
    </xf>
    <xf numFmtId="0" fontId="24" fillId="0" borderId="35" xfId="0" applyFont="1" applyFill="1" applyBorder="1" applyAlignment="1"/>
    <xf numFmtId="0" fontId="24" fillId="0" borderId="12" xfId="0" applyFont="1" applyFill="1" applyBorder="1" applyAlignment="1"/>
    <xf numFmtId="0" fontId="31" fillId="0" borderId="4" xfId="0" applyFont="1" applyBorder="1" applyAlignment="1">
      <alignment horizontal="center" vertical="center"/>
    </xf>
    <xf numFmtId="0" fontId="28" fillId="0" borderId="7" xfId="0" applyFont="1" applyFill="1" applyBorder="1" applyAlignment="1">
      <alignment horizontal="left"/>
    </xf>
    <xf numFmtId="0" fontId="28" fillId="0" borderId="35" xfId="0" applyFont="1" applyFill="1" applyBorder="1" applyAlignment="1">
      <alignment horizontal="center"/>
    </xf>
    <xf numFmtId="0" fontId="28" fillId="0" borderId="27" xfId="0" applyFont="1" applyFill="1" applyBorder="1" applyAlignment="1">
      <alignment horizontal="center"/>
    </xf>
    <xf numFmtId="0" fontId="31" fillId="0" borderId="53" xfId="0" applyFont="1" applyBorder="1" applyAlignment="1">
      <alignment horizontal="center" vertical="center"/>
    </xf>
    <xf numFmtId="0" fontId="31" fillId="0" borderId="48" xfId="0" applyFont="1" applyBorder="1" applyAlignment="1">
      <alignment horizontal="center" vertical="center"/>
    </xf>
    <xf numFmtId="0" fontId="28" fillId="0" borderId="56" xfId="0" applyFont="1" applyBorder="1" applyAlignment="1">
      <alignment horizontal="center" vertical="center" wrapText="1"/>
    </xf>
    <xf numFmtId="0" fontId="29" fillId="0" borderId="20" xfId="0" applyFont="1" applyBorder="1" applyAlignment="1">
      <alignment horizontal="center" vertical="center"/>
    </xf>
    <xf numFmtId="0" fontId="28" fillId="0" borderId="56" xfId="0" applyFont="1" applyBorder="1" applyAlignment="1">
      <alignment horizontal="center" vertical="center"/>
    </xf>
    <xf numFmtId="0" fontId="28" fillId="0" borderId="32" xfId="0" applyFont="1" applyBorder="1" applyAlignment="1">
      <alignment horizontal="center" vertical="center"/>
    </xf>
    <xf numFmtId="0" fontId="28" fillId="0" borderId="33" xfId="0" applyFont="1" applyBorder="1" applyAlignment="1">
      <alignment horizontal="center" vertical="center"/>
    </xf>
    <xf numFmtId="0" fontId="29" fillId="0" borderId="23" xfId="0" applyFont="1" applyBorder="1" applyAlignment="1">
      <alignment horizontal="center" vertical="center"/>
    </xf>
    <xf numFmtId="0" fontId="29" fillId="0" borderId="13" xfId="0" applyFont="1" applyBorder="1" applyAlignment="1">
      <alignment horizontal="center" vertical="center"/>
    </xf>
    <xf numFmtId="0" fontId="28" fillId="0" borderId="35" xfId="0" applyFont="1" applyFill="1" applyBorder="1" applyAlignment="1">
      <alignment horizontal="left"/>
    </xf>
    <xf numFmtId="0" fontId="28" fillId="0" borderId="12" xfId="0" applyFont="1" applyFill="1" applyBorder="1" applyAlignment="1">
      <alignment horizontal="left"/>
    </xf>
    <xf numFmtId="0" fontId="25" fillId="0" borderId="6" xfId="0" applyFont="1" applyFill="1" applyBorder="1" applyAlignment="1">
      <alignment horizontal="left"/>
    </xf>
    <xf numFmtId="0" fontId="30" fillId="0" borderId="0" xfId="0" applyFont="1" applyBorder="1" applyAlignment="1">
      <alignment horizontal="left"/>
    </xf>
    <xf numFmtId="0" fontId="24" fillId="0" borderId="12" xfId="0" applyFont="1" applyBorder="1" applyAlignment="1">
      <alignment horizontal="right"/>
    </xf>
    <xf numFmtId="0" fontId="12" fillId="0" borderId="27" xfId="0" applyFont="1" applyBorder="1" applyAlignment="1">
      <alignment horizontal="center"/>
    </xf>
    <xf numFmtId="0" fontId="31" fillId="0" borderId="33" xfId="0" applyFont="1" applyBorder="1" applyAlignment="1">
      <alignment horizontal="center" vertical="center"/>
    </xf>
    <xf numFmtId="0" fontId="32" fillId="0" borderId="57" xfId="0" applyFont="1" applyBorder="1" applyAlignment="1">
      <alignment horizontal="center" vertical="center"/>
    </xf>
    <xf numFmtId="0" fontId="28" fillId="0" borderId="5" xfId="0" applyFont="1" applyFill="1" applyBorder="1" applyAlignment="1">
      <alignment horizontal="left"/>
    </xf>
    <xf numFmtId="0" fontId="28" fillId="0" borderId="28" xfId="0" applyFont="1" applyBorder="1" applyAlignment="1">
      <alignment horizontal="left"/>
    </xf>
    <xf numFmtId="0" fontId="28" fillId="0" borderId="38" xfId="0" applyFont="1" applyBorder="1" applyAlignment="1">
      <alignment horizontal="left"/>
    </xf>
    <xf numFmtId="0" fontId="31" fillId="0" borderId="56" xfId="0" applyFont="1" applyBorder="1" applyAlignment="1">
      <alignment horizontal="center" vertical="center"/>
    </xf>
    <xf numFmtId="0" fontId="32" fillId="0" borderId="20" xfId="0" applyFont="1" applyBorder="1" applyAlignment="1">
      <alignment horizontal="center" vertical="center"/>
    </xf>
    <xf numFmtId="0" fontId="32" fillId="0" borderId="23" xfId="0" applyFont="1" applyBorder="1" applyAlignment="1">
      <alignment horizontal="center" vertical="center"/>
    </xf>
    <xf numFmtId="0" fontId="32" fillId="0" borderId="13" xfId="0" applyFont="1" applyBorder="1" applyAlignment="1">
      <alignment horizontal="center" vertical="center"/>
    </xf>
    <xf numFmtId="0" fontId="35" fillId="0" borderId="6" xfId="0" applyFont="1" applyFill="1" applyBorder="1" applyAlignment="1">
      <alignment horizontal="left"/>
    </xf>
    <xf numFmtId="0" fontId="5" fillId="0" borderId="12" xfId="0" applyFont="1" applyBorder="1" applyAlignment="1">
      <alignment horizontal="center" vertical="center"/>
    </xf>
    <xf numFmtId="0" fontId="17" fillId="0" borderId="0" xfId="0" applyFont="1" applyAlignment="1">
      <alignment vertical="center"/>
    </xf>
    <xf numFmtId="0" fontId="16" fillId="0" borderId="0" xfId="0" applyFont="1" applyAlignment="1">
      <alignment horizontal="center" vertical="center"/>
    </xf>
    <xf numFmtId="0" fontId="16" fillId="0" borderId="0" xfId="0" applyFont="1" applyAlignment="1">
      <alignment vertical="center"/>
    </xf>
    <xf numFmtId="0" fontId="7" fillId="0" borderId="0" xfId="0" applyFont="1" applyBorder="1" applyAlignment="1">
      <alignment horizontal="center" vertical="center"/>
    </xf>
    <xf numFmtId="0" fontId="13" fillId="0" borderId="0" xfId="0" applyFont="1" applyAlignment="1">
      <alignment horizontal="center" vertical="center"/>
    </xf>
    <xf numFmtId="0" fontId="31" fillId="0" borderId="58" xfId="0" applyFont="1" applyBorder="1" applyAlignment="1">
      <alignment horizontal="center" wrapText="1"/>
    </xf>
    <xf numFmtId="0" fontId="31" fillId="0" borderId="26" xfId="0" applyFont="1" applyBorder="1" applyAlignment="1">
      <alignment horizontal="center" wrapText="1"/>
    </xf>
    <xf numFmtId="0" fontId="23" fillId="0" borderId="58" xfId="0" applyFont="1" applyBorder="1" applyAlignment="1">
      <alignment horizontal="center" wrapText="1"/>
    </xf>
    <xf numFmtId="0" fontId="23" fillId="0" borderId="26" xfId="0" applyFont="1" applyBorder="1" applyAlignment="1">
      <alignment horizontal="center" wrapText="1"/>
    </xf>
    <xf numFmtId="0" fontId="31" fillId="0" borderId="51" xfId="0" applyFont="1" applyBorder="1" applyAlignment="1">
      <alignment horizontal="center" wrapText="1"/>
    </xf>
    <xf numFmtId="0" fontId="31" fillId="0" borderId="41" xfId="0" applyFont="1" applyBorder="1" applyAlignment="1">
      <alignment horizontal="center" wrapText="1"/>
    </xf>
    <xf numFmtId="0" fontId="31" fillId="0" borderId="42" xfId="0" applyFont="1" applyBorder="1" applyAlignment="1">
      <alignment horizontal="center" vertical="center" wrapText="1"/>
    </xf>
    <xf numFmtId="0" fontId="31" fillId="0" borderId="21" xfId="0" applyFont="1" applyBorder="1" applyAlignment="1">
      <alignment horizontal="center" vertical="center" wrapText="1"/>
    </xf>
    <xf numFmtId="0" fontId="31" fillId="0" borderId="53" xfId="0" applyFont="1" applyBorder="1" applyAlignment="1">
      <alignment horizontal="center" vertical="center" wrapText="1"/>
    </xf>
    <xf numFmtId="0" fontId="31" fillId="0" borderId="54" xfId="0" applyFont="1" applyBorder="1" applyAlignment="1">
      <alignment horizontal="center" wrapText="1"/>
    </xf>
    <xf numFmtId="0" fontId="31" fillId="0" borderId="40" xfId="0" applyFont="1" applyBorder="1" applyAlignment="1">
      <alignment horizontal="center" wrapText="1"/>
    </xf>
    <xf numFmtId="0" fontId="24" fillId="0" borderId="24" xfId="0" applyFont="1" applyBorder="1" applyAlignment="1">
      <alignment horizontal="center" vertical="center" wrapText="1"/>
    </xf>
    <xf numFmtId="0" fontId="0" fillId="0" borderId="4" xfId="0" applyBorder="1" applyAlignment="1">
      <alignment horizontal="center" vertical="center" wrapText="1"/>
    </xf>
    <xf numFmtId="0" fontId="31" fillId="0" borderId="24"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30" xfId="0" applyFont="1" applyBorder="1" applyAlignment="1">
      <alignment horizontal="center" vertical="center" wrapText="1"/>
    </xf>
    <xf numFmtId="0" fontId="31" fillId="0" borderId="48" xfId="0" applyFont="1" applyBorder="1" applyAlignment="1">
      <alignment horizontal="center" vertical="center" wrapText="1"/>
    </xf>
    <xf numFmtId="0" fontId="23" fillId="0" borderId="24" xfId="0" applyFont="1" applyBorder="1" applyAlignment="1">
      <alignment horizontal="center" vertical="center" wrapText="1"/>
    </xf>
    <xf numFmtId="0" fontId="71" fillId="0" borderId="4" xfId="0" applyFont="1" applyBorder="1" applyAlignment="1">
      <alignment horizontal="center" vertical="center" wrapText="1"/>
    </xf>
    <xf numFmtId="0" fontId="23" fillId="0" borderId="24" xfId="0" applyFont="1" applyBorder="1" applyAlignment="1">
      <alignment horizontal="justify" vertical="center" wrapText="1"/>
    </xf>
    <xf numFmtId="0" fontId="23" fillId="0" borderId="4" xfId="0" applyFont="1" applyBorder="1" applyAlignment="1">
      <alignment horizontal="justify" vertical="center" wrapText="1"/>
    </xf>
    <xf numFmtId="0" fontId="24" fillId="0" borderId="4" xfId="0" applyFont="1" applyBorder="1" applyAlignment="1">
      <alignment horizontal="center" vertical="center" wrapText="1"/>
    </xf>
    <xf numFmtId="0" fontId="66" fillId="0" borderId="0" xfId="0" applyFont="1" applyAlignment="1">
      <alignment horizontal="center" vertical="center"/>
    </xf>
    <xf numFmtId="0" fontId="50" fillId="0" borderId="0" xfId="0" applyFont="1" applyAlignment="1">
      <alignment horizontal="center" vertical="center"/>
    </xf>
    <xf numFmtId="0" fontId="42" fillId="0" borderId="0" xfId="0" applyFont="1" applyAlignment="1">
      <alignment horizontal="center" vertical="center" wrapText="1"/>
    </xf>
    <xf numFmtId="0" fontId="50" fillId="0" borderId="0" xfId="0" applyFont="1" applyAlignment="1">
      <alignment horizontal="center" vertical="center" wrapText="1"/>
    </xf>
    <xf numFmtId="0" fontId="31" fillId="0" borderId="12" xfId="0" applyFont="1" applyBorder="1" applyAlignment="1">
      <alignment horizontal="right" vertical="center"/>
    </xf>
    <xf numFmtId="0" fontId="67" fillId="0" borderId="12" xfId="0" applyFont="1" applyBorder="1" applyAlignment="1">
      <alignment horizontal="right" vertical="center"/>
    </xf>
    <xf numFmtId="0" fontId="37" fillId="0" borderId="0" xfId="0" applyFont="1" applyAlignment="1">
      <alignment horizontal="center" vertical="center" wrapText="1"/>
    </xf>
    <xf numFmtId="0" fontId="0" fillId="0" borderId="5" xfId="0" applyBorder="1" applyAlignment="1">
      <alignment horizontal="center" vertical="center" wrapText="1"/>
    </xf>
    <xf numFmtId="0" fontId="45" fillId="0" borderId="0" xfId="0" applyFont="1" applyAlignment="1">
      <alignment horizontal="right" vertical="center"/>
    </xf>
    <xf numFmtId="0" fontId="67" fillId="0" borderId="0" xfId="0" applyFont="1" applyAlignment="1">
      <alignment horizontal="right" vertical="center"/>
    </xf>
    <xf numFmtId="0" fontId="42" fillId="0" borderId="0" xfId="0" applyFont="1" applyAlignment="1">
      <alignment horizontal="right" vertical="center"/>
    </xf>
    <xf numFmtId="0" fontId="0" fillId="0" borderId="0" xfId="0" applyAlignment="1">
      <alignment horizontal="right" vertical="center"/>
    </xf>
    <xf numFmtId="0" fontId="42" fillId="0" borderId="0" xfId="0" applyFont="1" applyAlignment="1">
      <alignment horizontal="left" vertical="center"/>
    </xf>
    <xf numFmtId="0" fontId="0" fillId="0" borderId="0" xfId="0" applyAlignment="1">
      <alignment horizontal="left" vertical="center"/>
    </xf>
    <xf numFmtId="0" fontId="7" fillId="0" borderId="0" xfId="0" applyFont="1" applyAlignment="1">
      <alignment horizontal="left" vertical="center"/>
    </xf>
    <xf numFmtId="0" fontId="7" fillId="0" borderId="0" xfId="0" applyFont="1" applyAlignment="1">
      <alignment horizontal="right" vertical="center"/>
    </xf>
    <xf numFmtId="0" fontId="73" fillId="0" borderId="0" xfId="0" applyFont="1" applyAlignment="1">
      <alignment horizontal="right" vertical="center"/>
    </xf>
    <xf numFmtId="0" fontId="77" fillId="0" borderId="0" xfId="0" applyFont="1" applyAlignment="1">
      <alignment horizontal="right" vertical="center"/>
    </xf>
    <xf numFmtId="0" fontId="5" fillId="0" borderId="4" xfId="0" applyFont="1" applyBorder="1" applyAlignment="1">
      <alignment horizontal="center" vertical="center" wrapText="1"/>
    </xf>
    <xf numFmtId="0" fontId="73" fillId="0" borderId="0" xfId="0" applyFont="1" applyAlignment="1">
      <alignment horizontal="left" vertical="center"/>
    </xf>
    <xf numFmtId="0" fontId="77" fillId="0" borderId="0" xfId="0" applyFont="1" applyAlignment="1">
      <alignment horizontal="left" vertical="center"/>
    </xf>
    <xf numFmtId="0" fontId="45" fillId="0" borderId="0" xfId="0" applyFont="1" applyAlignment="1">
      <alignment horizontal="left" vertical="center"/>
    </xf>
    <xf numFmtId="0" fontId="67" fillId="0" borderId="0" xfId="0" applyFont="1" applyAlignment="1">
      <alignment horizontal="left" vertical="center"/>
    </xf>
    <xf numFmtId="0" fontId="5" fillId="0" borderId="0" xfId="0" applyFont="1" applyBorder="1" applyAlignment="1">
      <alignment horizontal="right" vertical="center"/>
    </xf>
    <xf numFmtId="0" fontId="31" fillId="0" borderId="2" xfId="0" applyFont="1" applyBorder="1" applyAlignment="1">
      <alignment horizontal="center" wrapText="1"/>
    </xf>
    <xf numFmtId="0" fontId="31" fillId="0" borderId="58"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26" xfId="0" applyFont="1" applyBorder="1" applyAlignment="1">
      <alignment horizontal="center" vertical="center" wrapText="1"/>
    </xf>
    <xf numFmtId="0" fontId="31" fillId="0" borderId="5" xfId="0" applyFont="1" applyBorder="1" applyAlignment="1">
      <alignment horizontal="center" vertical="center" wrapText="1"/>
    </xf>
    <xf numFmtId="0" fontId="3" fillId="0" borderId="0" xfId="0" applyFont="1" applyAlignment="1">
      <alignment vertical="top" wrapText="1"/>
    </xf>
    <xf numFmtId="0" fontId="13" fillId="0" borderId="0" xfId="0" applyFont="1" applyAlignment="1">
      <alignment vertical="top"/>
    </xf>
    <xf numFmtId="0" fontId="0" fillId="0" borderId="48" xfId="0" applyBorder="1" applyAlignment="1">
      <alignment horizontal="center" vertical="center" wrapText="1"/>
    </xf>
    <xf numFmtId="0" fontId="31" fillId="0" borderId="59" xfId="0" applyFont="1" applyBorder="1" applyAlignment="1">
      <alignment horizontal="center" wrapText="1"/>
    </xf>
    <xf numFmtId="0" fontId="5" fillId="0" borderId="58"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59" xfId="0" applyFont="1" applyFill="1" applyBorder="1" applyAlignment="1">
      <alignment horizontal="center" vertical="center"/>
    </xf>
    <xf numFmtId="0" fontId="5" fillId="0" borderId="12" xfId="0" applyFont="1" applyFill="1" applyBorder="1" applyAlignment="1">
      <alignment horizontal="right"/>
    </xf>
    <xf numFmtId="0" fontId="5" fillId="0" borderId="12" xfId="0" applyFont="1" applyFill="1" applyBorder="1" applyAlignment="1"/>
    <xf numFmtId="0" fontId="5" fillId="0" borderId="58" xfId="0" applyFont="1" applyBorder="1" applyAlignment="1">
      <alignment horizontal="center" vertical="center"/>
    </xf>
    <xf numFmtId="0" fontId="13" fillId="0" borderId="2" xfId="0" applyFont="1" applyBorder="1" applyAlignment="1">
      <alignment horizontal="center" vertical="center"/>
    </xf>
    <xf numFmtId="0" fontId="13" fillId="0" borderId="59" xfId="0" applyFont="1" applyBorder="1" applyAlignment="1">
      <alignment horizontal="center" vertical="center"/>
    </xf>
    <xf numFmtId="0" fontId="5" fillId="0" borderId="12" xfId="0" applyFont="1" applyBorder="1" applyAlignment="1">
      <alignment horizontal="right"/>
    </xf>
    <xf numFmtId="0" fontId="5" fillId="0" borderId="12" xfId="0" applyFont="1" applyBorder="1" applyAlignment="1"/>
    <xf numFmtId="0" fontId="17" fillId="0" borderId="0" xfId="0" applyFont="1" applyAlignment="1"/>
    <xf numFmtId="0" fontId="16" fillId="0" borderId="0" xfId="0" applyFont="1" applyAlignment="1"/>
    <xf numFmtId="0" fontId="19" fillId="0" borderId="0" xfId="0" applyFont="1" applyAlignment="1"/>
    <xf numFmtId="41" fontId="31" fillId="0" borderId="12" xfId="0" applyNumberFormat="1" applyFont="1" applyBorder="1" applyAlignment="1">
      <alignment horizontal="right"/>
    </xf>
    <xf numFmtId="0" fontId="37" fillId="0" borderId="0" xfId="0" applyFont="1" applyAlignment="1">
      <alignment horizontal="right"/>
    </xf>
    <xf numFmtId="0" fontId="73" fillId="0" borderId="0" xfId="0" applyFont="1" applyAlignment="1">
      <alignment horizontal="left"/>
    </xf>
    <xf numFmtId="0" fontId="45" fillId="0" borderId="0" xfId="0" applyFont="1" applyAlignment="1">
      <alignment horizontal="left"/>
    </xf>
    <xf numFmtId="0" fontId="42" fillId="0" borderId="0" xfId="0" applyFont="1" applyAlignment="1">
      <alignment horizontal="left"/>
    </xf>
    <xf numFmtId="0" fontId="45" fillId="0" borderId="0" xfId="0" applyFont="1" applyAlignment="1">
      <alignment horizontal="right"/>
    </xf>
    <xf numFmtId="0" fontId="73" fillId="0" borderId="0" xfId="0" applyFont="1" applyAlignment="1">
      <alignment horizontal="right"/>
    </xf>
    <xf numFmtId="0" fontId="42" fillId="0" borderId="0" xfId="0" applyFont="1" applyAlignment="1">
      <alignment horizontal="right"/>
    </xf>
    <xf numFmtId="0" fontId="5" fillId="0" borderId="14" xfId="0" applyFont="1" applyBorder="1" applyAlignment="1">
      <alignment vertical="top" wrapText="1"/>
    </xf>
    <xf numFmtId="0" fontId="13" fillId="0" borderId="14" xfId="0" applyFont="1" applyBorder="1" applyAlignment="1">
      <alignment vertical="top" wrapText="1"/>
    </xf>
    <xf numFmtId="0" fontId="7" fillId="0" borderId="0" xfId="0" applyFont="1" applyAlignment="1">
      <alignment horizontal="right"/>
    </xf>
    <xf numFmtId="0" fontId="17" fillId="0" borderId="0" xfId="0" applyFont="1" applyAlignment="1">
      <alignment horizontal="left"/>
    </xf>
    <xf numFmtId="0" fontId="16" fillId="0" borderId="0" xfId="0" applyFont="1" applyAlignment="1">
      <alignment horizontal="right"/>
    </xf>
    <xf numFmtId="0" fontId="16" fillId="0" borderId="0" xfId="0" applyFont="1" applyAlignment="1">
      <alignment horizontal="left"/>
    </xf>
    <xf numFmtId="0" fontId="19" fillId="0" borderId="0" xfId="0" applyFont="1" applyAlignment="1">
      <alignment horizontal="right"/>
    </xf>
    <xf numFmtId="0" fontId="19" fillId="0" borderId="0" xfId="0" applyFont="1" applyAlignment="1">
      <alignment horizontal="left"/>
    </xf>
    <xf numFmtId="0" fontId="17" fillId="0" borderId="0" xfId="0" applyFont="1" applyAlignment="1">
      <alignment horizontal="right"/>
    </xf>
    <xf numFmtId="0" fontId="7" fillId="0" borderId="0" xfId="0" applyFont="1" applyAlignment="1">
      <alignment horizontal="left"/>
    </xf>
    <xf numFmtId="0" fontId="5" fillId="0" borderId="9"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54" xfId="0" applyFont="1" applyBorder="1" applyAlignment="1">
      <alignment horizontal="center" vertical="center" wrapText="1"/>
    </xf>
    <xf numFmtId="0" fontId="74" fillId="0" borderId="0" xfId="0" applyFont="1" applyAlignment="1">
      <alignment horizontal="center" vertical="center"/>
    </xf>
    <xf numFmtId="0" fontId="43" fillId="0" borderId="0" xfId="0" applyFont="1" applyAlignment="1">
      <alignment horizontal="center" vertical="center"/>
    </xf>
    <xf numFmtId="0" fontId="31" fillId="0" borderId="31" xfId="0" applyFont="1" applyBorder="1" applyAlignment="1">
      <alignment horizontal="center" vertical="center" wrapText="1"/>
    </xf>
    <xf numFmtId="0" fontId="32" fillId="0" borderId="3" xfId="0" applyFont="1" applyBorder="1" applyAlignment="1">
      <alignment horizontal="center" vertical="center"/>
    </xf>
    <xf numFmtId="0" fontId="31" fillId="0" borderId="9" xfId="0" applyFont="1" applyBorder="1" applyAlignment="1">
      <alignment horizontal="center" vertical="center" wrapText="1"/>
    </xf>
    <xf numFmtId="0" fontId="32" fillId="0" borderId="34" xfId="0" applyFont="1" applyBorder="1" applyAlignment="1">
      <alignment horizontal="center" vertical="center"/>
    </xf>
    <xf numFmtId="0" fontId="0" fillId="0" borderId="31" xfId="0" applyBorder="1" applyAlignment="1">
      <alignment horizontal="center" vertical="center"/>
    </xf>
    <xf numFmtId="0" fontId="0" fillId="0" borderId="10" xfId="0" applyBorder="1" applyAlignment="1">
      <alignment horizontal="center" vertical="center"/>
    </xf>
    <xf numFmtId="0" fontId="23" fillId="0" borderId="12" xfId="0" applyFont="1" applyBorder="1" applyAlignment="1">
      <alignment horizontal="right" vertical="center"/>
    </xf>
    <xf numFmtId="0" fontId="5" fillId="0" borderId="31" xfId="0" applyFont="1" applyBorder="1" applyAlignment="1">
      <alignment horizontal="center" vertical="center"/>
    </xf>
    <xf numFmtId="0" fontId="5" fillId="0" borderId="10" xfId="0" applyFont="1" applyBorder="1" applyAlignment="1">
      <alignment horizontal="center" vertical="center"/>
    </xf>
    <xf numFmtId="0" fontId="5" fillId="0" borderId="42"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51" xfId="0" applyFont="1" applyBorder="1" applyAlignment="1">
      <alignment horizontal="center" wrapText="1"/>
    </xf>
    <xf numFmtId="0" fontId="5" fillId="0" borderId="54" xfId="0" applyFont="1" applyBorder="1" applyAlignment="1">
      <alignment horizontal="center" wrapText="1"/>
    </xf>
    <xf numFmtId="0" fontId="5" fillId="0" borderId="40" xfId="0" applyFont="1" applyBorder="1" applyAlignment="1">
      <alignment horizontal="center" wrapText="1"/>
    </xf>
    <xf numFmtId="0" fontId="5" fillId="0" borderId="46" xfId="0" applyFont="1" applyBorder="1" applyAlignment="1">
      <alignment horizontal="distributed" vertical="center" wrapText="1"/>
    </xf>
    <xf numFmtId="0" fontId="5" fillId="0" borderId="48" xfId="0" applyFont="1" applyBorder="1" applyAlignment="1">
      <alignment horizontal="distributed" vertical="center" wrapText="1"/>
    </xf>
    <xf numFmtId="0" fontId="5" fillId="0" borderId="0" xfId="0" applyFont="1" applyBorder="1" applyAlignment="1">
      <alignment horizontal="right" vertical="top"/>
    </xf>
    <xf numFmtId="0" fontId="16" fillId="0" borderId="0" xfId="0" applyFont="1" applyAlignment="1">
      <alignment horizontal="center" vertical="top"/>
    </xf>
    <xf numFmtId="0" fontId="53" fillId="0" borderId="0" xfId="0" applyFont="1" applyAlignment="1">
      <alignment horizontal="left" indent="6"/>
    </xf>
    <xf numFmtId="0" fontId="0" fillId="0" borderId="0" xfId="0" applyAlignment="1">
      <alignment horizontal="left" indent="6"/>
    </xf>
    <xf numFmtId="177" fontId="12" fillId="0" borderId="9" xfId="4" applyNumberFormat="1" applyFont="1" applyFill="1" applyBorder="1" applyAlignment="1">
      <alignment horizontal="center" vertical="center"/>
    </xf>
    <xf numFmtId="177" fontId="12" fillId="0" borderId="34" xfId="4" applyNumberFormat="1" applyFont="1" applyFill="1" applyBorder="1" applyAlignment="1">
      <alignment horizontal="center" vertical="center"/>
    </xf>
    <xf numFmtId="177" fontId="19" fillId="0" borderId="0" xfId="4" applyNumberFormat="1" applyFont="1" applyFill="1" applyAlignment="1">
      <alignment horizontal="center" vertical="center"/>
    </xf>
    <xf numFmtId="177" fontId="20" fillId="0" borderId="0" xfId="4" applyNumberFormat="1" applyFont="1" applyFill="1" applyAlignment="1">
      <alignment horizontal="center" vertical="center"/>
    </xf>
    <xf numFmtId="49" fontId="10" fillId="0" borderId="31" xfId="4" applyNumberFormat="1" applyFont="1" applyFill="1" applyBorder="1" applyAlignment="1">
      <alignment horizontal="center" vertical="center"/>
    </xf>
    <xf numFmtId="49" fontId="10" fillId="0" borderId="3" xfId="4" applyNumberFormat="1" applyFont="1" applyFill="1" applyBorder="1" applyAlignment="1">
      <alignment horizontal="center" vertical="center"/>
    </xf>
    <xf numFmtId="177" fontId="10" fillId="0" borderId="31" xfId="4" applyNumberFormat="1" applyFont="1" applyFill="1" applyBorder="1" applyAlignment="1">
      <alignment horizontal="center" vertical="center"/>
    </xf>
    <xf numFmtId="177" fontId="10" fillId="0" borderId="10" xfId="4" applyNumberFormat="1" applyFont="1" applyFill="1" applyBorder="1" applyAlignment="1">
      <alignment horizontal="center" vertical="center"/>
    </xf>
    <xf numFmtId="177" fontId="10" fillId="0" borderId="39" xfId="4" applyNumberFormat="1" applyFont="1" applyFill="1" applyBorder="1" applyAlignment="1">
      <alignment horizontal="center" vertical="center"/>
    </xf>
  </cellXfs>
  <cellStyles count="9">
    <cellStyle name="Header1" xfId="1"/>
    <cellStyle name="Header2" xfId="2"/>
    <cellStyle name="section" xfId="3"/>
    <cellStyle name="一般" xfId="0" builtinId="0"/>
    <cellStyle name="一般_各單位額度表" xfId="8"/>
    <cellStyle name="千分位" xfId="4" builtinId="3"/>
    <cellStyle name="千分位[0]" xfId="5" builtinId="6"/>
    <cellStyle name="百分比" xfId="6" builtinId="5"/>
    <cellStyle name="貨幣[0]_公務車明細" xfId="7"/>
  </cellStyles>
  <dxfs count="0"/>
  <tableStyles count="0" defaultTableStyle="TableStyleMedium9" defaultPivotStyle="PivotStyleLight16"/>
  <colors>
    <mruColors>
      <color rgb="FFFFFFCC"/>
      <color rgb="FFFFCC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3.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charts/_rels/chart6.xml.rels><?xml version="1.0" encoding="UTF-8" standalone="yes"?>
<Relationships xmlns="http://schemas.openxmlformats.org/package/2006/relationships"><Relationship Id="rId1" Type="http://schemas.openxmlformats.org/officeDocument/2006/relationships/image" Target="../media/image1.gif"/></Relationships>
</file>

<file path=xl/charts/_rels/chart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gif"/></Relationships>
</file>

<file path=xl/charts/chart1.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'8.圖1'!#REF!</c:f>
              <c:numCache>
                <c:formatCode>General</c:formatCode>
                <c:ptCount val="1"/>
                <c:pt idx="0">
                  <c:v>1</c:v>
                </c:pt>
              </c:numCache>
            </c:numRef>
          </c:val>
        </c:ser>
        <c:dLbls>
          <c:showCatName val="1"/>
          <c:showPercent val="1"/>
        </c:dLbls>
      </c:pie3DChart>
      <c:spPr>
        <a:noFill/>
        <a:ln w="25400">
          <a:noFill/>
        </a:ln>
      </c:spPr>
    </c:plotArea>
    <c:legend>
      <c:legendPos val="r"/>
      <c:spPr>
        <a:solidFill>
          <a:srgbClr val="FFFFFF"/>
        </a:solidFill>
        <a:ln w="3175">
          <a:solidFill>
            <a:srgbClr val="000000"/>
          </a:solidFill>
          <a:prstDash val="solid"/>
        </a:ln>
      </c:spPr>
      <c:txPr>
        <a:bodyPr/>
        <a:lstStyle/>
        <a:p>
          <a:pPr rtl="0">
            <a:defRPr sz="390" b="0" i="0" u="none" strike="noStrike" baseline="0">
              <a:solidFill>
                <a:srgbClr val="000000"/>
              </a:solidFill>
              <a:latin typeface="新細明體"/>
              <a:ea typeface="新細明體"/>
              <a:cs typeface="新細明體"/>
            </a:defRPr>
          </a:pPr>
          <a:endParaRPr lang="zh-TW"/>
        </a:p>
      </c:txPr>
    </c:legend>
    <c:plotVisOnly val="1"/>
    <c:dispBlanksAs val="zero"/>
  </c:chart>
  <c:spPr>
    <a:solidFill>
      <a:srgbClr val="FFFFFF"/>
    </a:solidFill>
    <a:ln w="3175">
      <a:solidFill>
        <a:srgbClr val="000000"/>
      </a:solidFill>
      <a:prstDash val="solid"/>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021" r="0.75000000000001021" t="1" header="0.5" footer="0.5"/>
    <c:pageSetup paperSize="9" orientation="landscape" horizontalDpi="-4"/>
  </c:printSettings>
</c:chartSpace>
</file>

<file path=xl/charts/chart10.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00" b="0" i="0" u="none" strike="noStrike" baseline="0">
                        <a:solidFill>
                          <a:srgbClr val="000000"/>
                        </a:solidFill>
                        <a:latin typeface="標楷體"/>
                        <a:ea typeface="標楷體"/>
                      </a:rPr>
                      <a:t>手續費成本</a:t>
                    </a:r>
                  </a:p>
                  <a:p>
                    <a:pPr>
                      <a:defRPr sz="425" b="0" i="0" u="none" strike="noStrike" baseline="0">
                        <a:solidFill>
                          <a:srgbClr val="000000"/>
                        </a:solidFill>
                        <a:latin typeface="新細明體"/>
                        <a:ea typeface="新細明體"/>
                        <a:cs typeface="新細明體"/>
                      </a:defRPr>
                    </a:pPr>
                    <a:r>
                      <a:rPr lang="en-US" altLang="zh-TW" sz="200" b="0" i="0" u="none" strike="noStrike" baseline="0">
                        <a:solidFill>
                          <a:srgbClr val="000000"/>
                        </a:solidFill>
                        <a:latin typeface="標楷體"/>
                        <a:ea typeface="標楷體"/>
                      </a:rPr>
                      <a:t>37%</a:t>
                    </a:r>
                  </a:p>
                </c:rich>
              </c:tx>
              <c:spPr>
                <a:noFill/>
                <a:ln w="25400">
                  <a:noFill/>
                </a:ln>
              </c:spPr>
            </c:dLbl>
            <c:dLbl>
              <c:idx val="1"/>
              <c:tx>
                <c:rich>
                  <a:bodyPr/>
                  <a:lstStyle/>
                  <a:p>
                    <a:pPr>
                      <a:defRPr sz="200" b="0" i="0" u="none" strike="noStrike" baseline="0">
                        <a:solidFill>
                          <a:srgbClr val="000000"/>
                        </a:solidFill>
                        <a:latin typeface="標楷體"/>
                        <a:ea typeface="標楷體"/>
                        <a:cs typeface="標楷體"/>
                      </a:defRPr>
                    </a:pPr>
                    <a:r>
                      <a:rPr altLang="en-US"/>
                      <a:t>業務費用
9%</a:t>
                    </a:r>
                  </a:p>
                </c:rich>
              </c:tx>
              <c:spPr>
                <a:noFill/>
                <a:ln w="25400">
                  <a:noFill/>
                </a:ln>
              </c:spPr>
              <c:dLblPos val="bestFit"/>
            </c:dLbl>
            <c:dLbl>
              <c:idx val="2"/>
              <c:tx>
                <c:rich>
                  <a:bodyPr/>
                  <a:lstStyle/>
                  <a:p>
                    <a:pPr>
                      <a:defRPr sz="200" b="0" i="0" u="none" strike="noStrike" baseline="0">
                        <a:solidFill>
                          <a:srgbClr val="000000"/>
                        </a:solidFill>
                        <a:latin typeface="標楷體"/>
                        <a:ea typeface="標楷體"/>
                        <a:cs typeface="標楷體"/>
                      </a:defRPr>
                    </a:pPr>
                    <a:r>
                      <a:rPr altLang="en-US"/>
                      <a:t>本期賸餘
54%</a:t>
                    </a:r>
                  </a:p>
                </c:rich>
              </c:tx>
              <c:spPr>
                <a:noFill/>
                <a:ln w="25400">
                  <a:noFill/>
                </a:ln>
              </c:spPr>
            </c:dLbl>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'11.圖4'!#REF!</c:f>
              <c:numCache>
                <c:formatCode>General</c:formatCode>
                <c:ptCount val="1"/>
                <c:pt idx="0">
                  <c:v>1</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021" r="0.75000000000001021" t="1" header="0.5" footer="0.5"/>
    <c:pageSetup paperSize="9" orientation="landscape" horizontalDpi="-4"/>
  </c:printSettings>
</c:chartSpace>
</file>

<file path=xl/charts/chart11.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82080067191601069"/>
          <c:y val="0.34000083989501878"/>
        </c:manualLayout>
      </c:layout>
      <c:spPr>
        <a:noFill/>
        <a:ln w="25400">
          <a:noFill/>
        </a:ln>
      </c:spPr>
      <c:txPr>
        <a:bodyPr/>
        <a:lstStyle/>
        <a:p>
          <a:pPr>
            <a:defRPr sz="1125"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880014750011825"/>
          <c:y val="0.21600042187582832"/>
          <c:w val="0.59520046500035018"/>
          <c:h val="0.70800138281520086"/>
        </c:manualLayout>
      </c:layout>
      <c:pie3DChart>
        <c:varyColors val="1"/>
        <c:ser>
          <c:idx val="0"/>
          <c:order val="0"/>
          <c:tx>
            <c:strRef>
              <c:f>'13.圖4'!$B$37</c:f>
              <c:strCache>
                <c:ptCount val="1"/>
                <c:pt idx="0">
                  <c:v>未分配賸餘</c:v>
                </c:pt>
              </c:strCache>
            </c:strRef>
          </c:tx>
          <c:spPr>
            <a:pattFill prst="divot">
              <a:fgClr>
                <a:srgbClr val="000000"/>
              </a:fgClr>
              <a:bgClr>
                <a:srgbClr val="FFFFFF"/>
              </a:bgClr>
            </a:pattFill>
            <a:ln w="12700">
              <a:solidFill>
                <a:srgbClr val="000000"/>
              </a:solidFill>
              <a:prstDash val="solid"/>
            </a:ln>
          </c:spPr>
          <c:dLbls>
            <c:dLbl>
              <c:idx val="0"/>
              <c:layout>
                <c:manualLayout>
                  <c:x val="0.76544721118161863"/>
                  <c:y val="-0.11806687620796349"/>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500" b="0" i="0" u="none" strike="noStrike" baseline="0">
                    <a:solidFill>
                      <a:srgbClr val="000000"/>
                    </a:solidFill>
                    <a:latin typeface="標楷體"/>
                    <a:ea typeface="標楷體"/>
                    <a:cs typeface="標楷體"/>
                  </a:defRPr>
                </a:pPr>
                <a:endParaRPr lang="zh-TW"/>
              </a:p>
            </c:txPr>
            <c:showCatName val="1"/>
            <c:showPercent val="1"/>
            <c:showLeaderLines val="1"/>
          </c:dLbls>
          <c:val>
            <c:numRef>
              <c:f>'13.圖4'!$C$37</c:f>
              <c:numCache>
                <c:formatCode>_-* #,##0_-;\-* #,##0_-;_-* "-"??_-;_-@_-</c:formatCode>
                <c:ptCount val="1"/>
                <c:pt idx="0">
                  <c:v>121848</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021" r="0.75000000000001021" t="1" header="0.5" footer="0.5"/>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79179876963329165"/>
          <c:y val="0.2970307424443232"/>
        </c:manualLayout>
      </c:layout>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927459372119468"/>
          <c:y val="0.1881194181860423"/>
          <c:w val="0.59936954678377208"/>
          <c:h val="0.5973616612574052"/>
        </c:manualLayout>
      </c:layout>
      <c:pie3DChart>
        <c:varyColors val="1"/>
        <c:ser>
          <c:idx val="0"/>
          <c:order val="0"/>
          <c:tx>
            <c:strRef>
              <c:f>'13.圖4'!$D$37</c:f>
              <c:strCache>
                <c:ptCount val="1"/>
                <c:pt idx="0">
                  <c:v>留存非營業基金</c:v>
                </c:pt>
              </c:strCache>
            </c:strRef>
          </c:tx>
          <c:spPr>
            <a:pattFill prst="divot">
              <a:fgClr>
                <a:srgbClr val="000000"/>
              </a:fgClr>
              <a:bgClr>
                <a:srgbClr val="FFFFFF"/>
              </a:bgClr>
            </a:pattFill>
            <a:ln w="12700">
              <a:solidFill>
                <a:srgbClr val="000000"/>
              </a:solidFill>
              <a:prstDash val="solid"/>
            </a:ln>
          </c:spPr>
          <c:dLbls>
            <c:dLbl>
              <c:idx val="0"/>
              <c:layout>
                <c:manualLayout>
                  <c:x val="0.7578634843775317"/>
                  <c:y val="-0.10876509585743366"/>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showCatName val="1"/>
            <c:showPercent val="1"/>
            <c:showLeaderLines val="1"/>
          </c:dLbls>
          <c:val>
            <c:numRef>
              <c:f>'13.圖4'!$E$37</c:f>
              <c:numCache>
                <c:formatCode>_-* #,##0_-;\-* #,##0_-;_-* "-"??_-;_-@_-</c:formatCode>
                <c:ptCount val="1"/>
                <c:pt idx="0">
                  <c:v>121848</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021" r="0.75000000000001021" t="1" header="0.5" footer="0.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lang val="zh-TW"/>
  <c:chart>
    <c:autoTitleDeleted val="1"/>
    <c:plotArea>
      <c:layout>
        <c:manualLayout>
          <c:layoutTarget val="inner"/>
          <c:xMode val="edge"/>
          <c:yMode val="edge"/>
          <c:x val="6.8965517241379309E-2"/>
          <c:y val="0.12050096663024291"/>
          <c:w val="0.90282131661443976"/>
          <c:h val="0.78560370452444084"/>
        </c:manualLayout>
      </c:layout>
      <c:barChart>
        <c:barDir val="col"/>
        <c:grouping val="stacked"/>
        <c:ser>
          <c:idx val="2"/>
          <c:order val="0"/>
          <c:tx>
            <c:strRef>
              <c:f>'14.圖5'!$A$41</c:f>
              <c:strCache>
                <c:ptCount val="1"/>
                <c:pt idx="0">
                  <c:v>　未分配賸餘</c:v>
                </c:pt>
              </c:strCache>
            </c:strRef>
          </c:tx>
          <c:spPr>
            <a:pattFill prst="ltUpDiag">
              <a:fgClr>
                <a:srgbClr val="000000"/>
              </a:fgClr>
              <a:bgClr>
                <a:srgbClr val="FFFFFF"/>
              </a:bgClr>
            </a:pattFill>
            <a:ln w="12700">
              <a:solidFill>
                <a:srgbClr val="000000"/>
              </a:solidFill>
              <a:prstDash val="solid"/>
            </a:ln>
          </c:spPr>
          <c:cat>
            <c:strRef>
              <c:f>'14.圖5'!$B$39:$F$39</c:f>
              <c:strCache>
                <c:ptCount val="5"/>
                <c:pt idx="0">
                  <c:v>102年度決算</c:v>
                </c:pt>
                <c:pt idx="1">
                  <c:v>103年度決算</c:v>
                </c:pt>
                <c:pt idx="2">
                  <c:v>104年度決算</c:v>
                </c:pt>
                <c:pt idx="3">
                  <c:v>105年度預算</c:v>
                </c:pt>
                <c:pt idx="4">
                  <c:v>106年度預算</c:v>
                </c:pt>
              </c:strCache>
            </c:strRef>
          </c:cat>
          <c:val>
            <c:numRef>
              <c:f>'14.圖5'!$B$44:$F$44</c:f>
              <c:numCache>
                <c:formatCode>General</c:formatCode>
                <c:ptCount val="5"/>
                <c:pt idx="0">
                  <c:v>44.783999999999999</c:v>
                </c:pt>
                <c:pt idx="1">
                  <c:v>51.604999999999997</c:v>
                </c:pt>
                <c:pt idx="2">
                  <c:v>101.032</c:v>
                </c:pt>
                <c:pt idx="3">
                  <c:v>65.602999999999994</c:v>
                </c:pt>
                <c:pt idx="4">
                  <c:v>121.848</c:v>
                </c:pt>
              </c:numCache>
            </c:numRef>
          </c:val>
        </c:ser>
        <c:gapWidth val="250"/>
        <c:overlap val="100"/>
        <c:axId val="111044480"/>
        <c:axId val="111046016"/>
      </c:barChart>
      <c:catAx>
        <c:axId val="111044480"/>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111046016"/>
        <c:crosses val="autoZero"/>
        <c:auto val="1"/>
        <c:lblAlgn val="ctr"/>
        <c:lblOffset val="100"/>
        <c:tickLblSkip val="1"/>
        <c:tickMarkSkip val="1"/>
      </c:catAx>
      <c:valAx>
        <c:axId val="111046016"/>
        <c:scaling>
          <c:orientation val="minMax"/>
        </c:scaling>
        <c:axPos val="l"/>
        <c:majorGridlines>
          <c:spPr>
            <a:ln w="3175">
              <a:solidFill>
                <a:srgbClr val="000000"/>
              </a:solidFill>
              <a:prstDash val="solid"/>
            </a:ln>
          </c:spPr>
        </c:majorGridlines>
        <c:title>
          <c:tx>
            <c:rich>
              <a:bodyPr rot="180000" vert="horz"/>
              <a:lstStyle/>
              <a:p>
                <a:pPr algn="ctr">
                  <a:defRPr sz="1175" b="0" i="0" u="none" strike="noStrike" baseline="0">
                    <a:solidFill>
                      <a:srgbClr val="000000"/>
                    </a:solidFill>
                    <a:latin typeface="標楷體"/>
                    <a:ea typeface="標楷體"/>
                    <a:cs typeface="標楷體"/>
                  </a:defRPr>
                </a:pPr>
                <a:r>
                  <a:rPr lang="zh-TW" altLang="en-US"/>
                  <a:t>百萬元</a:t>
                </a:r>
              </a:p>
            </c:rich>
          </c:tx>
          <c:layout>
            <c:manualLayout>
              <c:xMode val="edge"/>
              <c:yMode val="edge"/>
              <c:x val="1.2539235745138161E-2"/>
              <c:y val="3.1298904538341159E-2"/>
            </c:manualLayout>
          </c:layout>
          <c:spPr>
            <a:noFill/>
            <a:ln w="25400">
              <a:noFill/>
            </a:ln>
          </c:spPr>
        </c:title>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111044480"/>
        <c:crosses val="autoZero"/>
        <c:crossBetween val="between"/>
      </c:valAx>
      <c:spPr>
        <a:solidFill>
          <a:srgbClr val="FFFFFF"/>
        </a:solidFill>
        <a:ln w="12700">
          <a:solidFill>
            <a:srgbClr val="808080"/>
          </a:solidFill>
          <a:prstDash val="solid"/>
        </a:ln>
      </c:spPr>
    </c:plotArea>
    <c:legend>
      <c:legendPos val="r"/>
      <c:layout>
        <c:manualLayout>
          <c:xMode val="edge"/>
          <c:yMode val="edge"/>
          <c:x val="0.39685039370079811"/>
          <c:y val="3.4428794992175271E-2"/>
          <c:w val="0.19370078740157476"/>
          <c:h val="4.3818466353677733E-2"/>
        </c:manualLayout>
      </c:layout>
      <c:spPr>
        <a:solidFill>
          <a:srgbClr val="FFFFFF"/>
        </a:solidFill>
        <a:ln w="3175">
          <a:solidFill>
            <a:srgbClr val="000000"/>
          </a:solidFill>
          <a:prstDash val="solid"/>
        </a:ln>
      </c:spPr>
      <c:txPr>
        <a:bodyPr/>
        <a:lstStyle/>
        <a:p>
          <a:pPr>
            <a:defRPr sz="112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23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021" r="0.75000000000001021"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1"/>
  <c:lang val="zh-TW"/>
  <c:chart>
    <c:plotArea>
      <c:layout/>
      <c:pieChart>
        <c:varyColors val="1"/>
        <c:dLbls>
          <c:showCatName val="1"/>
        </c:dLbls>
        <c:firstSliceAng val="0"/>
      </c:pie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021" r="0.75000000000001021"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1"/>
  <c:lang val="zh-TW"/>
  <c:chart>
    <c:view3D>
      <c:perspective val="0"/>
    </c:view3D>
    <c:plotArea>
      <c:layout/>
      <c:pie3DChart>
        <c:varyColors val="1"/>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0.98425196850393659" l="0.7480314960630069" r="0.7480314960630069" t="0.98425196850393659" header="0.51181102362204722" footer="0.51181102362204722"/>
    <c:pageSetup paperSize="9" orientation="portrait"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444446683480102"/>
          <c:y val="0.12720870004813806"/>
          <c:w val="0.69682647697556765"/>
          <c:h val="0.73851717527946759"/>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spPr>
              <a:pattFill prst="wdUpDiag">
                <a:fgClr>
                  <a:srgbClr val="000000"/>
                </a:fgClr>
                <a:bgClr>
                  <a:srgbClr val="FFFFFF"/>
                </a:bgClr>
              </a:pattFill>
              <a:ln w="12700">
                <a:solidFill>
                  <a:srgbClr val="000000"/>
                </a:solidFill>
                <a:prstDash val="solid"/>
              </a:ln>
            </c:spPr>
          </c:dPt>
          <c:dLbls>
            <c:dLbl>
              <c:idx val="0"/>
              <c:layout>
                <c:manualLayout>
                  <c:x val="1.8710834324167872E-2"/>
                  <c:y val="-0.14911923888301917"/>
                </c:manualLayout>
              </c:layout>
              <c:showCatName val="1"/>
              <c:showPercent val="1"/>
            </c:dLbl>
            <c:dLbl>
              <c:idx val="1"/>
              <c:layout>
                <c:manualLayout>
                  <c:x val="2.1161451967395307E-2"/>
                  <c:y val="0.19484458382096254"/>
                </c:manualLayout>
              </c:layout>
              <c:showCatName val="1"/>
              <c:showPercent val="1"/>
            </c:dLbl>
            <c:numFmt formatCode="0.00%" sourceLinked="0"/>
            <c:txPr>
              <a:bodyPr/>
              <a:lstStyle/>
              <a:p>
                <a:pPr>
                  <a:defRPr sz="1075"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'10.圖1'!$B$38:$B$39</c:f>
              <c:strCache>
                <c:ptCount val="2"/>
                <c:pt idx="0">
                  <c:v>機械及設備</c:v>
                </c:pt>
                <c:pt idx="1">
                  <c:v>什項設備</c:v>
                </c:pt>
              </c:strCache>
            </c:strRef>
          </c:cat>
          <c:val>
            <c:numRef>
              <c:f>'10.圖1'!$C$38:$C$39</c:f>
              <c:numCache>
                <c:formatCode>_-* #,##0_-;\-* #,##0_-;_-* "-"??_-;_-@_-</c:formatCode>
                <c:ptCount val="2"/>
                <c:pt idx="0">
                  <c:v>16745</c:v>
                </c:pt>
                <c:pt idx="1">
                  <c:v>1538</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021" r="0.75000000000001021"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lang val="zh-TW"/>
  <c:chart>
    <c:title>
      <c:tx>
        <c:rich>
          <a:bodyPr/>
          <a:lstStyle/>
          <a:p>
            <a:pPr>
              <a:defRPr sz="1200" b="0" i="0" u="none" strike="noStrike" baseline="0">
                <a:solidFill>
                  <a:srgbClr val="000000"/>
                </a:solidFill>
                <a:latin typeface="標楷體"/>
                <a:ea typeface="標楷體"/>
                <a:cs typeface="標楷體"/>
              </a:defRPr>
            </a:pPr>
            <a:r>
              <a:rPr lang="zh-TW" altLang="en-US"/>
              <a:t> 營運資金</a:t>
            </a:r>
          </a:p>
        </c:rich>
      </c:tx>
      <c:layout>
        <c:manualLayout>
          <c:xMode val="edge"/>
          <c:yMode val="edge"/>
          <c:x val="0.86687863700082546"/>
          <c:y val="0.17518286491560817"/>
        </c:manualLayout>
      </c:layout>
      <c:spPr>
        <a:noFill/>
        <a:ln w="25400">
          <a:noFill/>
        </a:ln>
      </c:spPr>
    </c:title>
    <c:view3D>
      <c:rotX val="25"/>
      <c:rotY val="90"/>
      <c:perspective val="0"/>
    </c:view3D>
    <c:plotArea>
      <c:layout>
        <c:manualLayout>
          <c:layoutTarget val="inner"/>
          <c:xMode val="edge"/>
          <c:yMode val="edge"/>
          <c:x val="0.14580042978069124"/>
          <c:y val="9.4890680048685644E-2"/>
          <c:w val="0.70206076513963156"/>
          <c:h val="0.89051253584149626"/>
        </c:manualLayout>
      </c:layout>
      <c:pie3DChart>
        <c:varyColors val="1"/>
        <c:ser>
          <c:idx val="0"/>
          <c:order val="0"/>
          <c:tx>
            <c:strRef>
              <c:f>'10.圖1'!$D$39</c:f>
              <c:strCache>
                <c:ptCount val="1"/>
                <c:pt idx="0">
                  <c:v>   營運資金</c:v>
                </c:pt>
              </c:strCache>
            </c:strRef>
          </c:tx>
          <c:spPr>
            <a:pattFill prst="divot">
              <a:fgClr>
                <a:srgbClr val="000000"/>
              </a:fgClr>
              <a:bgClr>
                <a:srgbClr val="FFFFFF"/>
              </a:bgClr>
            </a:pattFill>
            <a:ln w="12700">
              <a:solidFill>
                <a:srgbClr val="000000"/>
              </a:solidFill>
              <a:prstDash val="solid"/>
            </a:ln>
          </c:spPr>
          <c:dLbls>
            <c:dLbl>
              <c:idx val="0"/>
              <c:layout>
                <c:manualLayout>
                  <c:x val="0.84646710931763147"/>
                  <c:y val="-0.29945808877861607"/>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175" b="0" i="0" u="none" strike="noStrike" baseline="0">
                    <a:solidFill>
                      <a:srgbClr val="000000"/>
                    </a:solidFill>
                    <a:latin typeface="標楷體"/>
                    <a:ea typeface="標楷體"/>
                    <a:cs typeface="標楷體"/>
                  </a:defRPr>
                </a:pPr>
                <a:endParaRPr lang="zh-TW"/>
              </a:p>
            </c:txPr>
            <c:showCatName val="1"/>
            <c:showPercent val="1"/>
            <c:showLeaderLines val="1"/>
          </c:dLbls>
          <c:val>
            <c:numRef>
              <c:f>'10.圖1'!$E$39</c:f>
              <c:numCache>
                <c:formatCode>_-* #,##0_-;\-* #,##0_-;_-* "-"??_-;_-@_-</c:formatCode>
                <c:ptCount val="1"/>
                <c:pt idx="0">
                  <c:v>18283</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925" b="0" i="0" u="none" strike="noStrike" baseline="0">
          <a:solidFill>
            <a:srgbClr val="000000"/>
          </a:solidFill>
          <a:latin typeface="標楷體"/>
          <a:ea typeface="標楷體"/>
          <a:cs typeface="標楷體"/>
        </a:defRPr>
      </a:pPr>
      <a:endParaRPr lang="zh-TW"/>
    </a:p>
  </c:txPr>
  <c:printSettings>
    <c:headerFooter alignWithMargins="0"/>
    <c:pageMargins b="1" l="0.75000000000001021" r="0.75000000000001021" t="1" header="0.5" footer="0.5"/>
    <c:pageSetup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5291021955589254"/>
          <c:y val="0.10836315071923583"/>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gradFill>
                <a:gsLst>
                  <a:gs pos="0">
                    <a:srgbClr val="4F81BD">
                      <a:tint val="66000"/>
                      <a:satMod val="160000"/>
                    </a:srgbClr>
                  </a:gs>
                  <a:gs pos="50000">
                    <a:srgbClr val="4F81BD">
                      <a:tint val="44500"/>
                      <a:satMod val="160000"/>
                    </a:srgbClr>
                  </a:gs>
                  <a:gs pos="100000">
                    <a:srgbClr val="4F81BD">
                      <a:tint val="23500"/>
                      <a:satMod val="160000"/>
                    </a:srgbClr>
                  </a:gs>
                </a:gsLst>
                <a:path path="circle">
                  <a:fillToRect l="100000" t="100000"/>
                </a:path>
              </a:grad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1.751313485113841E-3"/>
                  <c:y val="-0.15675522574066741"/>
                </c:manualLayout>
              </c:layout>
              <c:tx>
                <c:rich>
                  <a:bodyPr/>
                  <a:lstStyle/>
                  <a:p>
                    <a:r>
                      <a:rPr lang="zh-TW" altLang="en-US"/>
                      <a:t>勞務收入
</a:t>
                    </a:r>
                    <a:r>
                      <a:rPr lang="en-US" altLang="zh-TW"/>
                      <a:t>99.21%</a:t>
                    </a:r>
                    <a:endParaRPr lang="zh-TW" altLang="en-US"/>
                  </a:p>
                </c:rich>
              </c:tx>
              <c:showCatName val="1"/>
              <c:showPercent val="1"/>
            </c:dLbl>
            <c:dLbl>
              <c:idx val="1"/>
              <c:layout>
                <c:manualLayout>
                  <c:x val="2.0267247679854637E-2"/>
                  <c:y val="0.20971770615004148"/>
                </c:manualLayout>
              </c:layout>
              <c:tx>
                <c:rich>
                  <a:bodyPr/>
                  <a:lstStyle/>
                  <a:p>
                    <a:r>
                      <a:rPr lang="zh-TW" altLang="en-US"/>
                      <a:t>其他業務收入
</a:t>
                    </a:r>
                    <a:r>
                      <a:rPr lang="en-US" altLang="zh-TW"/>
                      <a:t>0.18%</a:t>
                    </a:r>
                    <a:endParaRPr lang="zh-TW" altLang="en-US"/>
                  </a:p>
                </c:rich>
              </c:tx>
              <c:showCatName val="1"/>
              <c:showPercent val="1"/>
            </c:dLbl>
            <c:dLbl>
              <c:idx val="2"/>
              <c:layout>
                <c:manualLayout>
                  <c:x val="-4.4019103566520036E-2"/>
                  <c:y val="5.3501765516720482E-3"/>
                </c:manualLayout>
              </c:layout>
              <c:tx>
                <c:rich>
                  <a:bodyPr/>
                  <a:lstStyle/>
                  <a:p>
                    <a:r>
                      <a:rPr lang="zh-TW" altLang="en-US"/>
                      <a:t>財務收入
</a:t>
                    </a:r>
                    <a:r>
                      <a:rPr lang="en-US" altLang="zh-TW"/>
                      <a:t>0.29%</a:t>
                    </a:r>
                  </a:p>
                </c:rich>
              </c:tx>
              <c:showCatName val="1"/>
              <c:showPercent val="1"/>
            </c:dLbl>
            <c:dLbl>
              <c:idx val="3"/>
              <c:layout>
                <c:manualLayout>
                  <c:x val="4.0863981319323242E-3"/>
                  <c:y val="-0.34735512377499705"/>
                </c:manualLayout>
              </c:layout>
              <c:tx>
                <c:rich>
                  <a:bodyPr/>
                  <a:lstStyle/>
                  <a:p>
                    <a:r>
                      <a:rPr lang="zh-TW" altLang="en-US"/>
                      <a:t>其他業務外收入
</a:t>
                    </a:r>
                    <a:r>
                      <a:rPr lang="en-US" altLang="zh-TW"/>
                      <a:t>0.32%</a:t>
                    </a:r>
                    <a:endParaRPr lang="zh-TW" altLang="en-US"/>
                  </a:p>
                </c:rich>
              </c:tx>
              <c:showCatName val="1"/>
              <c:showPercent val="1"/>
            </c:dLbl>
            <c:numFmt formatCode="0.00%" sourceLinked="0"/>
            <c:txPr>
              <a:bodyPr/>
              <a:lstStyle/>
              <a:p>
                <a:pPr>
                  <a:defRPr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'11.圖2'!$B$46:$B$49</c:f>
              <c:strCache>
                <c:ptCount val="4"/>
                <c:pt idx="0">
                  <c:v>   勞務收入</c:v>
                </c:pt>
                <c:pt idx="1">
                  <c:v>     其他業務收入</c:v>
                </c:pt>
                <c:pt idx="2">
                  <c:v>   財務收入</c:v>
                </c:pt>
                <c:pt idx="3">
                  <c:v>   其他業務外收入</c:v>
                </c:pt>
              </c:strCache>
            </c:strRef>
          </c:cat>
          <c:val>
            <c:numRef>
              <c:f>'11.圖2'!$C$46:$C$49</c:f>
              <c:numCache>
                <c:formatCode>0.00%</c:formatCode>
                <c:ptCount val="4"/>
                <c:pt idx="0">
                  <c:v>0.99205059827854725</c:v>
                </c:pt>
                <c:pt idx="1">
                  <c:v>1.7608680326345405E-3</c:v>
                </c:pt>
                <c:pt idx="2">
                  <c:v>2.8840422736507491E-3</c:v>
                </c:pt>
                <c:pt idx="3">
                  <c:v>3.2044914151674988E-3</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044" r="0.75000000000001044"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7195783860350788"/>
          <c:y val="0.10836315071923583"/>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blipFill dpi="0" rotWithShape="1">
                <a:blip xmlns:r="http://schemas.openxmlformats.org/officeDocument/2006/relationships" r:embed="rId2">
                  <a:alphaModFix amt="40000"/>
                </a:blip>
                <a:srcRect/>
                <a:stretch>
                  <a:fillRect/>
                </a:stretch>
              </a:blip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3.0372383934694418E-3"/>
                  <c:y val="-0.19757420689056571"/>
                </c:manualLayout>
              </c:layout>
              <c:tx>
                <c:rich>
                  <a:bodyPr/>
                  <a:lstStyle/>
                  <a:p>
                    <a:r>
                      <a:rPr lang="zh-TW" altLang="en-US" baseline="0">
                        <a:latin typeface="標楷體" pitchFamily="65" charset="-120"/>
                      </a:rPr>
                      <a:t>勞務成本
</a:t>
                    </a:r>
                    <a:r>
                      <a:rPr lang="en-US" altLang="zh-TW" baseline="0">
                        <a:latin typeface="標楷體" pitchFamily="65" charset="-120"/>
                      </a:rPr>
                      <a:t>98.13%</a:t>
                    </a:r>
                  </a:p>
                </c:rich>
              </c:tx>
              <c:showCatName val="1"/>
              <c:showPercent val="1"/>
            </c:dLbl>
            <c:dLbl>
              <c:idx val="1"/>
              <c:layout>
                <c:manualLayout>
                  <c:x val="9.1357677876834145E-2"/>
                  <c:y val="0.29218240243334082"/>
                </c:manualLayout>
              </c:layout>
              <c:tx>
                <c:rich>
                  <a:bodyPr/>
                  <a:lstStyle/>
                  <a:p>
                    <a:r>
                      <a:rPr lang="zh-TW" altLang="en-US"/>
                      <a:t>其他業務成本
</a:t>
                    </a:r>
                    <a:r>
                      <a:rPr lang="en-US" altLang="zh-TW"/>
                      <a:t>0.18%</a:t>
                    </a:r>
                  </a:p>
                </c:rich>
              </c:tx>
              <c:showCatName val="1"/>
              <c:showPercent val="1"/>
            </c:dLbl>
            <c:dLbl>
              <c:idx val="2"/>
              <c:layout>
                <c:manualLayout>
                  <c:x val="-1.1194009982750061E-2"/>
                  <c:y val="0.10749531578143016"/>
                </c:manualLayout>
              </c:layout>
              <c:tx>
                <c:rich>
                  <a:bodyPr/>
                  <a:lstStyle/>
                  <a:p>
                    <a:r>
                      <a:rPr lang="zh-TW" altLang="en-US"/>
                      <a:t>其他業務外費用
</a:t>
                    </a:r>
                    <a:r>
                      <a:rPr lang="en-US" altLang="zh-TW"/>
                      <a:t>0.01%</a:t>
                    </a:r>
                  </a:p>
                </c:rich>
              </c:tx>
              <c:showCatName val="1"/>
              <c:showPercent val="1"/>
            </c:dLbl>
            <c:dLbl>
              <c:idx val="3"/>
              <c:layout>
                <c:manualLayout>
                  <c:x val="-1.3832636083133888E-2"/>
                  <c:y val="-0.3837383554949233"/>
                </c:manualLayout>
              </c:layout>
              <c:showCatName val="1"/>
              <c:showPercent val="1"/>
            </c:dLbl>
            <c:numFmt formatCode="0.00%" sourceLinked="0"/>
            <c:txPr>
              <a:bodyPr/>
              <a:lstStyle/>
              <a:p>
                <a:pPr>
                  <a:defRPr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'11.圖2'!$D$46:$D$49</c:f>
              <c:strCache>
                <c:ptCount val="4"/>
                <c:pt idx="0">
                  <c:v>   勞務成本</c:v>
                </c:pt>
                <c:pt idx="1">
                  <c:v>   其他業務成本</c:v>
                </c:pt>
                <c:pt idx="2">
                  <c:v>   其他業務外費用</c:v>
                </c:pt>
                <c:pt idx="3">
                  <c:v>本期賸餘</c:v>
                </c:pt>
              </c:strCache>
            </c:strRef>
          </c:cat>
          <c:val>
            <c:numRef>
              <c:f>'11.圖2'!$E$46:$E$49</c:f>
              <c:numCache>
                <c:formatCode>0.00%</c:formatCode>
                <c:ptCount val="4"/>
                <c:pt idx="0">
                  <c:v>0.98132262178669627</c:v>
                </c:pt>
                <c:pt idx="1">
                  <c:v>1.7608680326345405E-3</c:v>
                </c:pt>
                <c:pt idx="2">
                  <c:v>8.0112285379187466E-5</c:v>
                </c:pt>
                <c:pt idx="3">
                  <c:v>1.6836397895290039E-2</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066" r="0.75000000000001066" t="1" header="0.5" footer="0.5"/>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c:lang val="zh-TW"/>
  <c:chart>
    <c:plotArea>
      <c:layout>
        <c:manualLayout>
          <c:layoutTarget val="inner"/>
          <c:xMode val="edge"/>
          <c:yMode val="edge"/>
          <c:x val="9.2043681747269887E-2"/>
          <c:y val="8.3038869257951745E-2"/>
          <c:w val="0.87987519500780065"/>
          <c:h val="0.75441696113073076"/>
        </c:manualLayout>
      </c:layout>
      <c:barChart>
        <c:barDir val="col"/>
        <c:grouping val="clustered"/>
        <c:ser>
          <c:idx val="0"/>
          <c:order val="0"/>
          <c:tx>
            <c:v>收入合計</c:v>
          </c:tx>
          <c:spPr>
            <a:pattFill prst="ltDnDiag">
              <a:fgClr>
                <a:srgbClr val="000000"/>
              </a:fgClr>
              <a:bgClr>
                <a:srgbClr val="FFFFFF"/>
              </a:bgClr>
            </a:pattFill>
            <a:ln w="25400">
              <a:solidFill>
                <a:srgbClr val="000000"/>
              </a:solidFill>
              <a:prstDash val="solid"/>
            </a:ln>
          </c:spPr>
          <c:cat>
            <c:strRef>
              <c:f>'12.圖3'!$B$35:$F$35</c:f>
              <c:strCache>
                <c:ptCount val="5"/>
                <c:pt idx="0">
                  <c:v>102年度決算</c:v>
                </c:pt>
                <c:pt idx="1">
                  <c:v>103年度決算</c:v>
                </c:pt>
                <c:pt idx="2">
                  <c:v>104年度決算</c:v>
                </c:pt>
                <c:pt idx="3">
                  <c:v>105年度預算</c:v>
                </c:pt>
                <c:pt idx="4">
                  <c:v>106年度預算</c:v>
                </c:pt>
              </c:strCache>
            </c:strRef>
          </c:cat>
          <c:val>
            <c:numRef>
              <c:f>'12.圖3'!$B$46:$F$46</c:f>
              <c:numCache>
                <c:formatCode>_-* #,##0_-;\-* #,##0_-;_-* "-"??_-;_-@_-</c:formatCode>
                <c:ptCount val="5"/>
                <c:pt idx="0">
                  <c:v>677.69</c:v>
                </c:pt>
                <c:pt idx="1">
                  <c:v>656.024</c:v>
                </c:pt>
                <c:pt idx="2">
                  <c:v>642.31700000000001</c:v>
                </c:pt>
                <c:pt idx="3">
                  <c:v>657.45399999999995</c:v>
                </c:pt>
                <c:pt idx="4">
                  <c:v>624.12400000000002</c:v>
                </c:pt>
              </c:numCache>
            </c:numRef>
          </c:val>
        </c:ser>
        <c:ser>
          <c:idx val="1"/>
          <c:order val="1"/>
          <c:tx>
            <c:v>費用合計</c:v>
          </c:tx>
          <c:spPr>
            <a:pattFill prst="solidDmnd">
              <a:fgClr>
                <a:srgbClr val="000000"/>
              </a:fgClr>
              <a:bgClr>
                <a:srgbClr val="FFFFFF"/>
              </a:bgClr>
            </a:pattFill>
            <a:ln w="25400">
              <a:solidFill>
                <a:srgbClr val="000000"/>
              </a:solidFill>
              <a:prstDash val="solid"/>
            </a:ln>
          </c:spPr>
          <c:cat>
            <c:strRef>
              <c:f>'12.圖3'!$B$35:$F$35</c:f>
              <c:strCache>
                <c:ptCount val="5"/>
                <c:pt idx="0">
                  <c:v>102年度決算</c:v>
                </c:pt>
                <c:pt idx="1">
                  <c:v>103年度決算</c:v>
                </c:pt>
                <c:pt idx="2">
                  <c:v>104年度決算</c:v>
                </c:pt>
                <c:pt idx="3">
                  <c:v>105年度預算</c:v>
                </c:pt>
                <c:pt idx="4">
                  <c:v>106年度預算</c:v>
                </c:pt>
              </c:strCache>
            </c:strRef>
          </c:cat>
          <c:val>
            <c:numRef>
              <c:f>'12.圖3'!$B$47:$F$47</c:f>
              <c:numCache>
                <c:formatCode>_-* #,##0_-;\-* #,##0_-;_-* "-"??_-;_-@_-</c:formatCode>
                <c:ptCount val="5"/>
                <c:pt idx="0">
                  <c:v>735.72900000000004</c:v>
                </c:pt>
                <c:pt idx="1">
                  <c:v>649.202</c:v>
                </c:pt>
                <c:pt idx="2">
                  <c:v>592.89099999999996</c:v>
                </c:pt>
                <c:pt idx="3">
                  <c:v>647.14599999999996</c:v>
                </c:pt>
                <c:pt idx="4">
                  <c:v>613.61599999999999</c:v>
                </c:pt>
              </c:numCache>
            </c:numRef>
          </c:val>
        </c:ser>
        <c:gapWidth val="230"/>
        <c:axId val="110475136"/>
        <c:axId val="110476672"/>
      </c:barChart>
      <c:catAx>
        <c:axId val="110475136"/>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標楷體"/>
                <a:ea typeface="標楷體"/>
                <a:cs typeface="標楷體"/>
              </a:defRPr>
            </a:pPr>
            <a:endParaRPr lang="zh-TW"/>
          </a:p>
        </c:txPr>
        <c:crossAx val="110476672"/>
        <c:crosses val="autoZero"/>
        <c:auto val="1"/>
        <c:lblAlgn val="ctr"/>
        <c:lblOffset val="100"/>
        <c:tickLblSkip val="1"/>
        <c:tickMarkSkip val="1"/>
      </c:catAx>
      <c:valAx>
        <c:axId val="110476672"/>
        <c:scaling>
          <c:orientation val="minMax"/>
        </c:scaling>
        <c:axPos val="l"/>
        <c:majorGridlines>
          <c:spPr>
            <a:ln w="3175">
              <a:solidFill>
                <a:srgbClr val="000000"/>
              </a:solidFill>
              <a:prstDash val="solid"/>
            </a:ln>
          </c:spPr>
        </c:majorGridlines>
        <c:title>
          <c:tx>
            <c:rich>
              <a:bodyPr rot="0" vert="horz"/>
              <a:lstStyle/>
              <a:p>
                <a:pPr algn="ctr">
                  <a:defRPr sz="1200" b="0" i="0" u="none" strike="noStrike" baseline="0">
                    <a:solidFill>
                      <a:srgbClr val="000000"/>
                    </a:solidFill>
                    <a:latin typeface="標楷體"/>
                    <a:ea typeface="標楷體"/>
                    <a:cs typeface="標楷體"/>
                  </a:defRPr>
                </a:pPr>
                <a:r>
                  <a:rPr lang="zh-TW" altLang="en-US"/>
                  <a:t>百萬元</a:t>
                </a:r>
              </a:p>
            </c:rich>
          </c:tx>
          <c:layout>
            <c:manualLayout>
              <c:xMode val="edge"/>
              <c:yMode val="edge"/>
              <c:x val="3.588148660100874E-2"/>
              <c:y val="8.8339222614841027E-3"/>
            </c:manualLayout>
          </c:layout>
          <c:spPr>
            <a:noFill/>
            <a:ln w="25400">
              <a:noFill/>
            </a:ln>
          </c:spPr>
        </c:title>
        <c:numFmt formatCode="#,##0_);[Red]\(#,##0\)" sourceLinked="0"/>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新細明體"/>
                <a:ea typeface="新細明體"/>
                <a:cs typeface="新細明體"/>
              </a:defRPr>
            </a:pPr>
            <a:endParaRPr lang="zh-TW"/>
          </a:p>
        </c:txPr>
        <c:crossAx val="110475136"/>
        <c:crosses val="autoZero"/>
        <c:crossBetween val="between"/>
      </c:valAx>
      <c:spPr>
        <a:noFill/>
        <a:ln w="3175">
          <a:solidFill>
            <a:srgbClr val="000000"/>
          </a:solidFill>
          <a:prstDash val="solid"/>
        </a:ln>
      </c:spPr>
    </c:plotArea>
    <c:legend>
      <c:legendPos val="r"/>
      <c:layout>
        <c:manualLayout>
          <c:xMode val="edge"/>
          <c:yMode val="edge"/>
          <c:x val="0.41523768368828851"/>
          <c:y val="7.028227265042751E-2"/>
          <c:w val="0.19905956112852666"/>
          <c:h val="0.11778563015312229"/>
        </c:manualLayout>
      </c:layout>
      <c:spPr>
        <a:solidFill>
          <a:srgbClr val="FFFFFF"/>
        </a:solidFill>
        <a:ln w="12700">
          <a:solidFill>
            <a:srgbClr val="000000"/>
          </a:solidFill>
          <a:prstDash val="solid"/>
        </a:ln>
      </c:spPr>
      <c:txPr>
        <a:bodyPr/>
        <a:lstStyle/>
        <a:p>
          <a:pPr>
            <a:defRPr sz="128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021" r="0.75000000000001021" t="1" header="0.5" footer="0.5"/>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25" b="0" i="0" u="none" strike="noStrike" baseline="0">
                        <a:solidFill>
                          <a:srgbClr val="000000"/>
                        </a:solidFill>
                        <a:latin typeface="標楷體"/>
                        <a:ea typeface="標楷體"/>
                      </a:rPr>
                      <a:t>融資業務收入</a:t>
                    </a:r>
                  </a:p>
                  <a:p>
                    <a:pPr>
                      <a:defRPr sz="425" b="0" i="0" u="none" strike="noStrike" baseline="0">
                        <a:solidFill>
                          <a:srgbClr val="000000"/>
                        </a:solidFill>
                        <a:latin typeface="新細明體"/>
                        <a:ea typeface="新細明體"/>
                        <a:cs typeface="新細明體"/>
                      </a:defRPr>
                    </a:pPr>
                    <a:r>
                      <a:rPr lang="en-US" altLang="zh-TW" sz="225" b="0" i="0" u="none" strike="noStrike" baseline="0">
                        <a:solidFill>
                          <a:srgbClr val="000000"/>
                        </a:solidFill>
                        <a:latin typeface="標楷體"/>
                        <a:ea typeface="標楷體"/>
                      </a:rPr>
                      <a:t>92%</a:t>
                    </a:r>
                  </a:p>
                </c:rich>
              </c:tx>
              <c:spPr>
                <a:noFill/>
                <a:ln w="25400">
                  <a:noFill/>
                </a:ln>
              </c:spPr>
            </c:dLbl>
            <c:dLbl>
              <c:idx val="1"/>
              <c:tx>
                <c:rich>
                  <a:bodyPr/>
                  <a:lstStyle/>
                  <a:p>
                    <a:pPr>
                      <a:defRPr sz="225" b="0" i="0" u="none" strike="noStrike" baseline="0">
                        <a:solidFill>
                          <a:srgbClr val="000000"/>
                        </a:solidFill>
                        <a:latin typeface="標楷體"/>
                        <a:ea typeface="標楷體"/>
                        <a:cs typeface="標楷體"/>
                      </a:defRPr>
                    </a:pPr>
                    <a:r>
                      <a:rPr altLang="en-US"/>
                      <a:t>利息收入
8%</a:t>
                    </a:r>
                  </a:p>
                </c:rich>
              </c:tx>
              <c:spPr>
                <a:noFill/>
                <a:ln w="25400">
                  <a:noFill/>
                </a:ln>
              </c:spPr>
            </c:dLbl>
            <c:numFmt formatCode="0%" sourceLinked="0"/>
            <c:spPr>
              <a:noFill/>
              <a:ln w="25400">
                <a:noFill/>
              </a:ln>
            </c:spPr>
            <c:txPr>
              <a:bodyPr/>
              <a:lstStyle/>
              <a:p>
                <a:pPr>
                  <a:defRPr sz="225" b="0" i="0" u="none" strike="noStrike" baseline="0">
                    <a:solidFill>
                      <a:srgbClr val="000000"/>
                    </a:solidFill>
                    <a:latin typeface="標楷體"/>
                    <a:ea typeface="標楷體"/>
                    <a:cs typeface="標楷體"/>
                  </a:defRPr>
                </a:pPr>
                <a:endParaRPr lang="zh-TW"/>
              </a:p>
            </c:txPr>
            <c:showCatName val="1"/>
            <c:showPercent val="1"/>
            <c:showLeaderLines val="1"/>
          </c:dLbls>
          <c:val>
            <c:numRef>
              <c:f>'11.圖4'!#REF!</c:f>
              <c:numCache>
                <c:formatCode>General</c:formatCode>
                <c:ptCount val="1"/>
                <c:pt idx="0">
                  <c:v>1</c:v>
                </c:pt>
              </c:numCache>
            </c:numRef>
          </c:val>
        </c:ser>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021" r="0.75000000000001021" t="1" header="0.5" footer="0.5"/>
    <c:pageSetup paperSize="9" orientation="landscape" horizontalDpi="-4"/>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xdr:col>
      <xdr:colOff>47625</xdr:colOff>
      <xdr:row>40</xdr:row>
      <xdr:rowOff>0</xdr:rowOff>
    </xdr:from>
    <xdr:to>
      <xdr:col>3</xdr:col>
      <xdr:colOff>1914525</xdr:colOff>
      <xdr:row>40</xdr:row>
      <xdr:rowOff>0</xdr:rowOff>
    </xdr:to>
    <xdr:graphicFrame macro="">
      <xdr:nvGraphicFramePr>
        <xdr:cNvPr id="4223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304800</xdr:colOff>
      <xdr:row>10</xdr:row>
      <xdr:rowOff>76200</xdr:rowOff>
    </xdr:from>
    <xdr:to>
      <xdr:col>2</xdr:col>
      <xdr:colOff>371475</xdr:colOff>
      <xdr:row>14</xdr:row>
      <xdr:rowOff>95250</xdr:rowOff>
    </xdr:to>
    <xdr:graphicFrame macro="">
      <xdr:nvGraphicFramePr>
        <xdr:cNvPr id="4223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66675</xdr:colOff>
      <xdr:row>22</xdr:row>
      <xdr:rowOff>0</xdr:rowOff>
    </xdr:from>
    <xdr:to>
      <xdr:col>2</xdr:col>
      <xdr:colOff>171450</xdr:colOff>
      <xdr:row>27</xdr:row>
      <xdr:rowOff>123825</xdr:rowOff>
    </xdr:to>
    <xdr:graphicFrame macro="">
      <xdr:nvGraphicFramePr>
        <xdr:cNvPr id="42240"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8</xdr:row>
      <xdr:rowOff>38100</xdr:rowOff>
    </xdr:from>
    <xdr:to>
      <xdr:col>4</xdr:col>
      <xdr:colOff>1409700</xdr:colOff>
      <xdr:row>20</xdr:row>
      <xdr:rowOff>95250</xdr:rowOff>
    </xdr:to>
    <xdr:graphicFrame macro="">
      <xdr:nvGraphicFramePr>
        <xdr:cNvPr id="42241"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xdr:colOff>
      <xdr:row>22</xdr:row>
      <xdr:rowOff>180975</xdr:rowOff>
    </xdr:from>
    <xdr:to>
      <xdr:col>4</xdr:col>
      <xdr:colOff>1409700</xdr:colOff>
      <xdr:row>34</xdr:row>
      <xdr:rowOff>276225</xdr:rowOff>
    </xdr:to>
    <xdr:graphicFrame macro="">
      <xdr:nvGraphicFramePr>
        <xdr:cNvPr id="42242"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7</xdr:row>
      <xdr:rowOff>28575</xdr:rowOff>
    </xdr:from>
    <xdr:to>
      <xdr:col>4</xdr:col>
      <xdr:colOff>1190625</xdr:colOff>
      <xdr:row>19</xdr:row>
      <xdr:rowOff>200025</xdr:rowOff>
    </xdr:to>
    <xdr:graphicFrame macro="">
      <xdr:nvGraphicFramePr>
        <xdr:cNvPr id="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22</xdr:row>
      <xdr:rowOff>19050</xdr:rowOff>
    </xdr:from>
    <xdr:to>
      <xdr:col>4</xdr:col>
      <xdr:colOff>1181100</xdr:colOff>
      <xdr:row>34</xdr:row>
      <xdr:rowOff>200025</xdr:rowOff>
    </xdr:to>
    <xdr:graphicFrame macro="">
      <xdr:nvGraphicFramePr>
        <xdr:cNvPr id="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6</xdr:row>
      <xdr:rowOff>47625</xdr:rowOff>
    </xdr:from>
    <xdr:to>
      <xdr:col>6</xdr:col>
      <xdr:colOff>9525</xdr:colOff>
      <xdr:row>32</xdr:row>
      <xdr:rowOff>0</xdr:rowOff>
    </xdr:to>
    <xdr:graphicFrame macro="">
      <xdr:nvGraphicFramePr>
        <xdr:cNvPr id="942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0</xdr:rowOff>
    </xdr:from>
    <xdr:to>
      <xdr:col>5</xdr:col>
      <xdr:colOff>895350</xdr:colOff>
      <xdr:row>0</xdr:row>
      <xdr:rowOff>0</xdr:rowOff>
    </xdr:to>
    <xdr:graphicFrame macro="">
      <xdr:nvGraphicFramePr>
        <xdr:cNvPr id="4423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219075</xdr:colOff>
      <xdr:row>0</xdr:row>
      <xdr:rowOff>0</xdr:rowOff>
    </xdr:from>
    <xdr:to>
      <xdr:col>5</xdr:col>
      <xdr:colOff>828675</xdr:colOff>
      <xdr:row>0</xdr:row>
      <xdr:rowOff>0</xdr:rowOff>
    </xdr:to>
    <xdr:graphicFrame macro="">
      <xdr:nvGraphicFramePr>
        <xdr:cNvPr id="4423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47625</xdr:colOff>
      <xdr:row>7</xdr:row>
      <xdr:rowOff>28575</xdr:rowOff>
    </xdr:from>
    <xdr:to>
      <xdr:col>4</xdr:col>
      <xdr:colOff>1143000</xdr:colOff>
      <xdr:row>18</xdr:row>
      <xdr:rowOff>104775</xdr:rowOff>
    </xdr:to>
    <xdr:graphicFrame macro="">
      <xdr:nvGraphicFramePr>
        <xdr:cNvPr id="4423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20</xdr:row>
      <xdr:rowOff>38100</xdr:rowOff>
    </xdr:from>
    <xdr:to>
      <xdr:col>4</xdr:col>
      <xdr:colOff>1200150</xdr:colOff>
      <xdr:row>33</xdr:row>
      <xdr:rowOff>200025</xdr:rowOff>
    </xdr:to>
    <xdr:graphicFrame macro="">
      <xdr:nvGraphicFramePr>
        <xdr:cNvPr id="44237"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6</xdr:row>
      <xdr:rowOff>76200</xdr:rowOff>
    </xdr:from>
    <xdr:to>
      <xdr:col>5</xdr:col>
      <xdr:colOff>2124075</xdr:colOff>
      <xdr:row>34</xdr:row>
      <xdr:rowOff>190500</xdr:rowOff>
    </xdr:to>
    <xdr:graphicFrame macro="">
      <xdr:nvGraphicFramePr>
        <xdr:cNvPr id="727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BUG\&#20844;&#20849;\90\90&#20844;&#20849;&#27010;&#31639;-&#20462;&#25913;&#29256;\&#36027;&#29992;&#26126;&#32048;&#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BUG\&#20844;&#20849;\90\90&#20844;&#20849;&#27010;&#31639;-&#27402;\&#38468;&#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921&#26371;&#35336;&#22577;&#21578;&#22522;&#37329;&#25910;&#2083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支出彙總"/>
      <sheetName val="勞務成本-備用"/>
      <sheetName val="勞務成本"/>
      <sheetName val="管理費用"/>
      <sheetName val="業務外費用"/>
    </sheetNames>
    <sheetDataSet>
      <sheetData sheetId="0" refreshError="1"/>
      <sheetData sheetId="1" refreshError="1"/>
      <sheetData sheetId="2"/>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成本彙總"/>
      <sheetName val="直接材料"/>
      <sheetName val="直接人工"/>
      <sheetName val="間接費用"/>
    </sheetNames>
    <sheetDataSet>
      <sheetData sheetId="0" refreshError="1"/>
      <sheetData sheetId="1" refreshError="1"/>
      <sheetData sheetId="2" refreshError="1"/>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注意事項"/>
      <sheetName val=" 目錄"/>
      <sheetName val=" 封底"/>
      <sheetName val="經費封面 "/>
      <sheetName val="經費平衡表3.31"/>
      <sheetName val="經費現金出納表"/>
      <sheetName val="經費累計表"/>
      <sheetName val="經費累計表－用途別科目綜計表"/>
      <sheetName val="Sheet1"/>
      <sheetName val="專戶存款明細表"/>
      <sheetName val="零用金明細表"/>
      <sheetName val="押金明細表"/>
      <sheetName val="暫付款明細表"/>
      <sheetName val="暫付款明細表 "/>
      <sheetName val="保管款明細表"/>
      <sheetName val="代收款明細表"/>
      <sheetName val="可支庫款計算表"/>
      <sheetName val="以前年度歲出應付款"/>
      <sheetName val="歲入封面 "/>
      <sheetName val="歲入平衡表"/>
      <sheetName val="歲入現金出納表"/>
      <sheetName val="歲入累計表"/>
      <sheetName val="以前年度歲入應收款"/>
      <sheetName val="本月實付及累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J36"/>
  <sheetViews>
    <sheetView tabSelected="1" topLeftCell="A16" workbookViewId="0">
      <selection activeCell="J33" sqref="J33"/>
    </sheetView>
  </sheetViews>
  <sheetFormatPr defaultRowHeight="16.2"/>
  <cols>
    <col min="9" max="9" width="8" customWidth="1"/>
    <col min="10" max="10" width="7.6640625" style="1" customWidth="1"/>
  </cols>
  <sheetData>
    <row r="1" spans="1:10" ht="24.6">
      <c r="A1" s="952" t="s">
        <v>152</v>
      </c>
      <c r="B1" s="952"/>
      <c r="C1" s="952"/>
      <c r="D1" s="952"/>
      <c r="E1" s="952"/>
      <c r="F1" s="952"/>
      <c r="G1" s="952"/>
      <c r="H1" s="952"/>
      <c r="I1" s="952"/>
      <c r="J1" s="952"/>
    </row>
    <row r="2" spans="1:10" ht="22.2">
      <c r="A2" s="953" t="s">
        <v>637</v>
      </c>
      <c r="B2" s="953"/>
      <c r="C2" s="953"/>
      <c r="D2" s="953"/>
      <c r="E2" s="953"/>
      <c r="F2" s="953"/>
      <c r="G2" s="953"/>
      <c r="H2" s="953"/>
      <c r="I2" s="953"/>
      <c r="J2" s="953"/>
    </row>
    <row r="3" spans="1:10" ht="27.75" customHeight="1" thickBot="1">
      <c r="A3" s="954" t="s">
        <v>1122</v>
      </c>
      <c r="B3" s="954"/>
      <c r="C3" s="954"/>
      <c r="D3" s="954"/>
      <c r="E3" s="954"/>
      <c r="F3" s="954"/>
      <c r="G3" s="954"/>
      <c r="H3" s="954"/>
      <c r="I3" s="954"/>
      <c r="J3" s="954"/>
    </row>
    <row r="4" spans="1:10" ht="12.75" customHeight="1">
      <c r="A4" s="185"/>
      <c r="B4" s="822"/>
      <c r="C4" s="822"/>
      <c r="D4" s="822"/>
      <c r="E4" s="822"/>
      <c r="F4" s="822"/>
      <c r="G4" s="822"/>
      <c r="H4" s="822"/>
      <c r="I4" s="822"/>
      <c r="J4" s="190"/>
    </row>
    <row r="5" spans="1:10" ht="21.9" customHeight="1">
      <c r="A5" s="187" t="s">
        <v>638</v>
      </c>
      <c r="B5" s="823"/>
      <c r="C5" s="823"/>
      <c r="D5" s="823"/>
      <c r="E5" s="823"/>
      <c r="F5" s="823"/>
      <c r="G5" s="823"/>
      <c r="H5" s="823"/>
      <c r="I5" s="823"/>
      <c r="J5" s="826" t="s">
        <v>1123</v>
      </c>
    </row>
    <row r="6" spans="1:10" ht="21.9" customHeight="1">
      <c r="A6" s="13" t="s">
        <v>639</v>
      </c>
      <c r="B6" s="10"/>
      <c r="C6" s="10"/>
      <c r="D6" s="10"/>
      <c r="E6" s="10"/>
      <c r="F6" s="10"/>
      <c r="G6" s="10"/>
      <c r="H6" s="10"/>
      <c r="I6" s="10"/>
      <c r="J6" s="337"/>
    </row>
    <row r="7" spans="1:10" ht="21.9" customHeight="1">
      <c r="A7" s="13" t="s">
        <v>640</v>
      </c>
      <c r="B7" s="10"/>
      <c r="C7" s="10"/>
      <c r="D7" s="10"/>
      <c r="E7" s="10"/>
      <c r="F7" s="10"/>
      <c r="G7" s="10"/>
      <c r="H7" s="10"/>
      <c r="I7" s="10"/>
      <c r="J7" s="338"/>
    </row>
    <row r="8" spans="1:10" s="824" customFormat="1" ht="21.9" customHeight="1">
      <c r="A8" s="356" t="s">
        <v>1124</v>
      </c>
      <c r="B8" s="121"/>
      <c r="C8" s="121"/>
      <c r="D8" s="121"/>
      <c r="E8" s="121"/>
      <c r="F8" s="121"/>
      <c r="G8" s="121"/>
      <c r="H8" s="121"/>
      <c r="I8" s="121"/>
      <c r="J8" s="827" t="s">
        <v>1100</v>
      </c>
    </row>
    <row r="9" spans="1:10" s="824" customFormat="1" ht="21.9" customHeight="1">
      <c r="A9" s="357" t="s">
        <v>736</v>
      </c>
      <c r="B9" s="10"/>
      <c r="C9" s="10"/>
      <c r="D9" s="10"/>
      <c r="E9" s="10"/>
      <c r="F9" s="10"/>
      <c r="G9" s="10"/>
      <c r="H9" s="10"/>
      <c r="I9" s="10"/>
      <c r="J9" s="828">
        <v>17</v>
      </c>
    </row>
    <row r="10" spans="1:10" s="824" customFormat="1" ht="21.9" customHeight="1">
      <c r="A10" s="357" t="s">
        <v>737</v>
      </c>
      <c r="B10" s="10"/>
      <c r="C10" s="10"/>
      <c r="D10" s="10"/>
      <c r="E10" s="10"/>
      <c r="F10" s="10"/>
      <c r="G10" s="10"/>
      <c r="H10" s="10"/>
      <c r="I10" s="10"/>
      <c r="J10" s="828">
        <v>18</v>
      </c>
    </row>
    <row r="11" spans="1:10" ht="21.9" customHeight="1">
      <c r="A11" s="13" t="s">
        <v>1101</v>
      </c>
      <c r="B11" s="10"/>
      <c r="C11" s="10"/>
      <c r="D11" s="10"/>
      <c r="E11" s="10"/>
      <c r="F11" s="10"/>
      <c r="G11" s="10"/>
      <c r="H11" s="10"/>
      <c r="I11" s="10"/>
      <c r="J11" s="338" t="s">
        <v>131</v>
      </c>
    </row>
    <row r="12" spans="1:10" s="824" customFormat="1" ht="21.9" customHeight="1">
      <c r="A12" s="357" t="s">
        <v>641</v>
      </c>
      <c r="B12" s="10"/>
      <c r="C12" s="10"/>
      <c r="D12" s="10"/>
      <c r="E12" s="10"/>
      <c r="F12" s="10"/>
      <c r="G12" s="10"/>
      <c r="H12" s="10"/>
      <c r="I12" s="10"/>
      <c r="J12" s="828">
        <v>19</v>
      </c>
    </row>
    <row r="13" spans="1:10" s="824" customFormat="1" ht="21.9" customHeight="1">
      <c r="A13" s="358" t="s">
        <v>1102</v>
      </c>
      <c r="B13" s="10"/>
      <c r="C13" s="10"/>
      <c r="D13" s="10"/>
      <c r="E13" s="10"/>
      <c r="F13" s="10"/>
      <c r="G13" s="10"/>
      <c r="H13" s="10"/>
      <c r="I13" s="10"/>
      <c r="J13" s="828">
        <v>20</v>
      </c>
    </row>
    <row r="14" spans="1:10" s="824" customFormat="1" ht="21.9" customHeight="1">
      <c r="A14" s="358" t="s">
        <v>1103</v>
      </c>
      <c r="B14" s="10"/>
      <c r="C14" s="10"/>
      <c r="D14" s="10"/>
      <c r="E14" s="10"/>
      <c r="F14" s="10"/>
      <c r="G14" s="10"/>
      <c r="H14" s="10"/>
      <c r="I14" s="10"/>
      <c r="J14" s="828">
        <v>21</v>
      </c>
    </row>
    <row r="15" spans="1:10" s="824" customFormat="1" ht="21.9" customHeight="1">
      <c r="A15" s="358" t="s">
        <v>1104</v>
      </c>
      <c r="B15" s="10"/>
      <c r="C15" s="10"/>
      <c r="D15" s="10"/>
      <c r="E15" s="10"/>
      <c r="F15" s="10"/>
      <c r="G15" s="10"/>
      <c r="H15" s="10"/>
      <c r="I15" s="10"/>
      <c r="J15" s="828">
        <v>22</v>
      </c>
    </row>
    <row r="16" spans="1:10" s="824" customFormat="1" ht="21.9" customHeight="1">
      <c r="A16" s="357" t="s">
        <v>1105</v>
      </c>
      <c r="B16" s="10"/>
      <c r="C16" s="10"/>
      <c r="D16" s="10"/>
      <c r="E16" s="10"/>
      <c r="F16" s="10"/>
      <c r="G16" s="10"/>
      <c r="H16" s="10"/>
      <c r="I16" s="10"/>
      <c r="J16" s="828" t="s">
        <v>1106</v>
      </c>
    </row>
    <row r="17" spans="1:10" s="824" customFormat="1" ht="21.9" customHeight="1">
      <c r="A17" s="357" t="s">
        <v>1107</v>
      </c>
      <c r="B17" s="10"/>
      <c r="C17" s="10"/>
      <c r="D17" s="10"/>
      <c r="E17" s="10"/>
      <c r="F17" s="10"/>
      <c r="G17" s="10"/>
      <c r="H17" s="10"/>
      <c r="I17" s="10"/>
      <c r="J17" s="828" t="s">
        <v>1108</v>
      </c>
    </row>
    <row r="18" spans="1:10" s="824" customFormat="1" ht="21.9" customHeight="1">
      <c r="A18" s="357" t="s">
        <v>1109</v>
      </c>
      <c r="B18" s="10"/>
      <c r="C18" s="10"/>
      <c r="D18" s="10"/>
      <c r="E18" s="10"/>
      <c r="F18" s="10"/>
      <c r="G18" s="10"/>
      <c r="H18" s="10"/>
      <c r="I18" s="10"/>
      <c r="J18" s="828" t="s">
        <v>1110</v>
      </c>
    </row>
    <row r="19" spans="1:10" s="824" customFormat="1" ht="21.9" customHeight="1">
      <c r="A19" s="357" t="s">
        <v>1111</v>
      </c>
      <c r="B19" s="10"/>
      <c r="C19" s="10"/>
      <c r="D19" s="10"/>
      <c r="E19" s="10"/>
      <c r="F19" s="10"/>
      <c r="G19" s="10"/>
      <c r="H19" s="10"/>
      <c r="I19" s="10"/>
      <c r="J19" s="828">
        <v>31</v>
      </c>
    </row>
    <row r="20" spans="1:10" s="824" customFormat="1" ht="21.9" customHeight="1">
      <c r="A20" s="357" t="s">
        <v>1112</v>
      </c>
      <c r="B20" s="10"/>
      <c r="C20" s="10"/>
      <c r="D20" s="10"/>
      <c r="E20" s="10"/>
      <c r="F20" s="10"/>
      <c r="G20" s="10"/>
      <c r="H20" s="10"/>
      <c r="I20" s="10"/>
      <c r="J20" s="828">
        <v>32</v>
      </c>
    </row>
    <row r="21" spans="1:10" s="824" customFormat="1" ht="21.9" customHeight="1">
      <c r="A21" s="357" t="s">
        <v>1113</v>
      </c>
      <c r="B21" s="10"/>
      <c r="C21" s="10"/>
      <c r="D21" s="10"/>
      <c r="E21" s="10"/>
      <c r="F21" s="10"/>
      <c r="G21" s="10"/>
      <c r="H21" s="10"/>
      <c r="I21" s="10"/>
      <c r="J21" s="828" t="s">
        <v>734</v>
      </c>
    </row>
    <row r="22" spans="1:10" s="824" customFormat="1" ht="21.9" customHeight="1">
      <c r="A22" s="357" t="s">
        <v>1114</v>
      </c>
      <c r="B22" s="10"/>
      <c r="C22" s="10"/>
      <c r="D22" s="10"/>
      <c r="E22" s="10"/>
      <c r="F22" s="10"/>
      <c r="G22" s="10"/>
      <c r="H22" s="10"/>
      <c r="I22" s="10"/>
      <c r="J22" s="828">
        <v>36</v>
      </c>
    </row>
    <row r="23" spans="1:10" s="824" customFormat="1" ht="21.9" customHeight="1">
      <c r="A23" s="357" t="s">
        <v>1115</v>
      </c>
      <c r="B23" s="10"/>
      <c r="C23" s="10"/>
      <c r="D23" s="10"/>
      <c r="E23" s="10"/>
      <c r="F23" s="10"/>
      <c r="G23" s="10"/>
      <c r="H23" s="10"/>
      <c r="I23" s="10"/>
      <c r="J23" s="828">
        <v>37</v>
      </c>
    </row>
    <row r="24" spans="1:10" ht="21.9" customHeight="1">
      <c r="A24" s="13" t="s">
        <v>642</v>
      </c>
      <c r="B24" s="10"/>
      <c r="C24" s="10"/>
      <c r="D24" s="10"/>
      <c r="E24" s="10"/>
      <c r="F24" s="10"/>
      <c r="G24" s="10"/>
      <c r="H24" s="10"/>
      <c r="I24" s="10"/>
      <c r="J24" s="338"/>
    </row>
    <row r="25" spans="1:10" s="824" customFormat="1" ht="21.9" customHeight="1">
      <c r="A25" s="356" t="s">
        <v>681</v>
      </c>
      <c r="B25" s="121"/>
      <c r="C25" s="121"/>
      <c r="D25" s="121"/>
      <c r="E25" s="121"/>
      <c r="F25" s="121"/>
      <c r="G25" s="121"/>
      <c r="H25" s="121"/>
      <c r="I25" s="121"/>
      <c r="J25" s="828">
        <v>39</v>
      </c>
    </row>
    <row r="26" spans="1:10" s="824" customFormat="1" ht="21.9" customHeight="1">
      <c r="A26" s="357" t="s">
        <v>1116</v>
      </c>
      <c r="B26" s="10"/>
      <c r="C26" s="10"/>
      <c r="D26" s="10"/>
      <c r="E26" s="10"/>
      <c r="F26" s="10"/>
      <c r="G26" s="10"/>
      <c r="H26" s="10"/>
      <c r="I26" s="10"/>
      <c r="J26" s="828">
        <v>40</v>
      </c>
    </row>
    <row r="27" spans="1:10" s="824" customFormat="1" ht="21.9" customHeight="1">
      <c r="A27" s="357" t="s">
        <v>1117</v>
      </c>
      <c r="B27" s="10"/>
      <c r="C27" s="10"/>
      <c r="D27" s="10"/>
      <c r="E27" s="10"/>
      <c r="F27" s="10"/>
      <c r="G27" s="10"/>
      <c r="H27" s="10"/>
      <c r="I27" s="10"/>
      <c r="J27" s="828">
        <v>41</v>
      </c>
    </row>
    <row r="28" spans="1:10" s="824" customFormat="1" ht="21.9" customHeight="1">
      <c r="A28" s="357" t="s">
        <v>799</v>
      </c>
      <c r="B28" s="10"/>
      <c r="C28" s="10"/>
      <c r="D28" s="10"/>
      <c r="E28" s="10"/>
      <c r="F28" s="10"/>
      <c r="G28" s="10"/>
      <c r="H28" s="10"/>
      <c r="I28" s="10"/>
      <c r="J28" s="828" t="s">
        <v>1118</v>
      </c>
    </row>
    <row r="29" spans="1:10" s="824" customFormat="1" ht="21.9" customHeight="1">
      <c r="A29" s="359" t="s">
        <v>1119</v>
      </c>
      <c r="B29" s="10"/>
      <c r="C29" s="10"/>
      <c r="D29" s="10"/>
      <c r="E29" s="10"/>
      <c r="F29" s="10"/>
      <c r="G29" s="10"/>
      <c r="H29" s="10"/>
      <c r="I29" s="10"/>
      <c r="J29" s="828" t="s">
        <v>1120</v>
      </c>
    </row>
    <row r="30" spans="1:10" ht="21.9" customHeight="1">
      <c r="A30" s="13" t="s">
        <v>643</v>
      </c>
      <c r="B30" s="10"/>
      <c r="C30" s="10"/>
      <c r="D30" s="10"/>
      <c r="E30" s="10"/>
      <c r="F30" s="10"/>
      <c r="G30" s="10"/>
      <c r="H30" s="10"/>
      <c r="I30" s="10"/>
      <c r="J30" s="338"/>
    </row>
    <row r="31" spans="1:10" s="824" customFormat="1" ht="21.75" customHeight="1">
      <c r="A31" s="357" t="s">
        <v>682</v>
      </c>
      <c r="B31" s="10"/>
      <c r="C31" s="10"/>
      <c r="D31" s="10"/>
      <c r="E31" s="10"/>
      <c r="F31" s="10"/>
      <c r="G31" s="10"/>
      <c r="H31" s="10"/>
      <c r="I31" s="10"/>
      <c r="J31" s="338"/>
    </row>
    <row r="32" spans="1:10" s="824" customFormat="1" ht="19.8">
      <c r="A32" s="357" t="s">
        <v>1121</v>
      </c>
      <c r="B32" s="825"/>
      <c r="C32" s="825"/>
      <c r="D32" s="825"/>
      <c r="E32" s="825"/>
      <c r="F32" s="825"/>
      <c r="G32" s="825"/>
      <c r="H32" s="825"/>
      <c r="I32" s="825"/>
      <c r="J32" s="828" t="s">
        <v>1150</v>
      </c>
    </row>
    <row r="33" spans="1:10" s="824" customFormat="1" ht="19.8">
      <c r="A33" s="357"/>
      <c r="B33" s="825"/>
      <c r="C33" s="825"/>
      <c r="D33" s="825"/>
      <c r="E33" s="825"/>
      <c r="F33" s="825"/>
      <c r="G33" s="825"/>
      <c r="H33" s="825"/>
      <c r="I33" s="825"/>
      <c r="J33" s="338"/>
    </row>
    <row r="34" spans="1:10" s="824" customFormat="1" ht="19.8">
      <c r="A34" s="357"/>
      <c r="B34" s="825"/>
      <c r="C34" s="825"/>
      <c r="D34" s="825"/>
      <c r="E34" s="825"/>
      <c r="F34" s="825"/>
      <c r="G34" s="825"/>
      <c r="H34" s="825"/>
      <c r="I34" s="825"/>
      <c r="J34" s="338"/>
    </row>
    <row r="35" spans="1:10" s="824" customFormat="1" ht="19.8">
      <c r="A35" s="357"/>
      <c r="B35" s="825"/>
      <c r="C35" s="825"/>
      <c r="D35" s="825"/>
      <c r="E35" s="825"/>
      <c r="F35" s="825"/>
      <c r="G35" s="825"/>
      <c r="H35" s="825"/>
      <c r="I35" s="825"/>
      <c r="J35" s="338"/>
    </row>
    <row r="36" spans="1:10" ht="13.8" customHeight="1" thickBot="1">
      <c r="A36" s="188"/>
      <c r="B36" s="189"/>
      <c r="C36" s="189"/>
      <c r="D36" s="189"/>
      <c r="E36" s="189"/>
      <c r="F36" s="189"/>
      <c r="G36" s="189"/>
      <c r="H36" s="189"/>
      <c r="I36" s="189"/>
      <c r="J36" s="18"/>
    </row>
  </sheetData>
  <mergeCells count="3">
    <mergeCell ref="A1:J1"/>
    <mergeCell ref="A2:J2"/>
    <mergeCell ref="A3:J3"/>
  </mergeCells>
  <phoneticPr fontId="14" type="noConversion"/>
  <printOptions horizontalCentered="1"/>
  <pageMargins left="0.6692913385826772" right="0.6692913385826772" top="0.59055118110236227" bottom="0.78740157480314965" header="0.47244094488188981" footer="0.51181102362204722"/>
  <pageSetup paperSize="9" orientation="portrait" blackAndWhite="1" r:id="rId1"/>
  <headerFooter scaleWithDoc="0" alignWithMargins="0"/>
</worksheet>
</file>

<file path=xl/worksheets/sheet10.xml><?xml version="1.0" encoding="utf-8"?>
<worksheet xmlns="http://schemas.openxmlformats.org/spreadsheetml/2006/main" xmlns:r="http://schemas.openxmlformats.org/officeDocument/2006/relationships">
  <sheetPr codeName="Sheet11">
    <tabColor rgb="FFFFFFCC"/>
  </sheetPr>
  <dimension ref="A1:K34"/>
  <sheetViews>
    <sheetView view="pageBreakPreview" topLeftCell="A7" zoomScale="90" zoomScaleNormal="100" zoomScaleSheetLayoutView="90" workbookViewId="0">
      <selection activeCell="C20" sqref="C20"/>
    </sheetView>
  </sheetViews>
  <sheetFormatPr defaultColWidth="9" defaultRowHeight="16.2"/>
  <cols>
    <col min="1" max="2" width="2.88671875" style="41" customWidth="1"/>
    <col min="3" max="3" width="11.33203125" style="41" customWidth="1"/>
    <col min="4" max="10" width="9" style="41"/>
    <col min="11" max="11" width="7.109375" style="41" customWidth="1"/>
    <col min="12" max="16384" width="9" style="41"/>
  </cols>
  <sheetData>
    <row r="1" spans="1:11" ht="24.6">
      <c r="A1" s="992" t="s">
        <v>232</v>
      </c>
      <c r="B1" s="993"/>
      <c r="C1" s="993"/>
      <c r="D1" s="993"/>
      <c r="E1" s="993"/>
      <c r="F1" s="993"/>
      <c r="G1" s="993"/>
      <c r="H1" s="993"/>
      <c r="I1" s="993"/>
      <c r="J1" s="993"/>
      <c r="K1" s="993"/>
    </row>
    <row r="2" spans="1:11" ht="22.2">
      <c r="A2" s="1005" t="s">
        <v>76</v>
      </c>
      <c r="B2" s="1006"/>
      <c r="C2" s="1006"/>
      <c r="D2" s="1006"/>
      <c r="E2" s="1006"/>
      <c r="F2" s="1006"/>
      <c r="G2" s="1006"/>
      <c r="H2" s="1006"/>
      <c r="I2" s="1006"/>
      <c r="J2" s="1006"/>
      <c r="K2" s="1006"/>
    </row>
    <row r="3" spans="1:11" ht="22.2">
      <c r="A3" s="1004" t="s">
        <v>1096</v>
      </c>
      <c r="B3" s="1003"/>
      <c r="C3" s="1003"/>
      <c r="D3" s="1003"/>
      <c r="E3" s="1003"/>
      <c r="F3" s="1003"/>
      <c r="G3" s="1003"/>
      <c r="H3" s="1003"/>
      <c r="I3" s="1003"/>
      <c r="J3" s="1003"/>
      <c r="K3" s="1003"/>
    </row>
    <row r="4" spans="1:11" s="271" customFormat="1" ht="19.8">
      <c r="A4" s="1002" t="s">
        <v>1043</v>
      </c>
      <c r="B4" s="1003"/>
      <c r="C4" s="1003"/>
      <c r="D4" s="1003"/>
      <c r="E4" s="1003"/>
      <c r="F4" s="1003"/>
      <c r="G4" s="1003"/>
      <c r="H4" s="1003"/>
      <c r="I4" s="1003"/>
      <c r="J4" s="1003"/>
      <c r="K4" s="1003"/>
    </row>
    <row r="5" spans="1:11" ht="17.25" customHeight="1" thickBot="1">
      <c r="B5" s="269"/>
      <c r="C5" s="270"/>
      <c r="D5" s="270"/>
      <c r="E5" s="270"/>
      <c r="F5" s="270"/>
      <c r="G5" s="270"/>
      <c r="H5" s="270"/>
      <c r="I5" s="270"/>
      <c r="J5" s="270"/>
      <c r="K5" s="268"/>
    </row>
    <row r="6" spans="1:11" s="470" customFormat="1" ht="30" customHeight="1">
      <c r="A6" s="715"/>
      <c r="B6" s="998" t="s">
        <v>1044</v>
      </c>
      <c r="C6" s="998"/>
      <c r="D6" s="998"/>
      <c r="E6" s="998"/>
      <c r="F6" s="998"/>
      <c r="G6" s="998"/>
      <c r="H6" s="998"/>
      <c r="I6" s="998"/>
      <c r="J6" s="998"/>
      <c r="K6" s="999"/>
    </row>
    <row r="7" spans="1:11" s="470" customFormat="1" ht="30" customHeight="1">
      <c r="A7" s="714"/>
      <c r="B7" s="1007" t="s">
        <v>1045</v>
      </c>
      <c r="C7" s="1007"/>
      <c r="D7" s="1007"/>
      <c r="E7" s="1007"/>
      <c r="F7" s="1007"/>
      <c r="G7" s="1007"/>
      <c r="H7" s="1007"/>
      <c r="I7" s="1007"/>
      <c r="J7" s="1007"/>
      <c r="K7" s="1008"/>
    </row>
    <row r="8" spans="1:11" s="713" customFormat="1" ht="35.1" customHeight="1">
      <c r="A8" s="712"/>
      <c r="B8" s="1007" t="s">
        <v>924</v>
      </c>
      <c r="C8" s="1007"/>
      <c r="D8" s="1007"/>
      <c r="E8" s="1007"/>
      <c r="F8" s="1007"/>
      <c r="G8" s="1007"/>
      <c r="H8" s="1007"/>
      <c r="I8" s="1007"/>
      <c r="J8" s="1007"/>
      <c r="K8" s="1008"/>
    </row>
    <row r="9" spans="1:11" s="470" customFormat="1" ht="25.05" customHeight="1">
      <c r="A9" s="714"/>
      <c r="B9" s="996" t="s">
        <v>1141</v>
      </c>
      <c r="C9" s="996"/>
      <c r="D9" s="996"/>
      <c r="E9" s="996"/>
      <c r="F9" s="996"/>
      <c r="G9" s="996"/>
      <c r="H9" s="996"/>
      <c r="I9" s="996"/>
      <c r="J9" s="996"/>
      <c r="K9" s="997"/>
    </row>
    <row r="10" spans="1:11" s="470" customFormat="1" ht="30" customHeight="1">
      <c r="A10" s="714"/>
      <c r="B10" s="988" t="s">
        <v>1142</v>
      </c>
      <c r="C10" s="988"/>
      <c r="D10" s="988"/>
      <c r="E10" s="988"/>
      <c r="F10" s="988"/>
      <c r="G10" s="988"/>
      <c r="H10" s="988"/>
      <c r="I10" s="988"/>
      <c r="J10" s="988"/>
      <c r="K10" s="989"/>
    </row>
    <row r="11" spans="1:11" s="713" customFormat="1" ht="35.1" customHeight="1">
      <c r="A11" s="712"/>
      <c r="B11" s="988" t="s">
        <v>1143</v>
      </c>
      <c r="C11" s="988"/>
      <c r="D11" s="988"/>
      <c r="E11" s="988"/>
      <c r="F11" s="988"/>
      <c r="G11" s="988"/>
      <c r="H11" s="988"/>
      <c r="I11" s="988"/>
      <c r="J11" s="988"/>
      <c r="K11" s="989"/>
    </row>
    <row r="12" spans="1:11" s="470" customFormat="1" ht="25.05" customHeight="1">
      <c r="A12" s="714"/>
      <c r="B12" s="994" t="s">
        <v>1144</v>
      </c>
      <c r="C12" s="994"/>
      <c r="D12" s="994"/>
      <c r="E12" s="994"/>
      <c r="F12" s="994"/>
      <c r="G12" s="994"/>
      <c r="H12" s="994"/>
      <c r="I12" s="994"/>
      <c r="J12" s="994"/>
      <c r="K12" s="995"/>
    </row>
    <row r="13" spans="1:11" s="470" customFormat="1" ht="25.05" customHeight="1">
      <c r="A13" s="714"/>
      <c r="B13" s="1000" t="s">
        <v>1145</v>
      </c>
      <c r="C13" s="1000"/>
      <c r="D13" s="1000"/>
      <c r="E13" s="1000"/>
      <c r="F13" s="1000"/>
      <c r="G13" s="1000"/>
      <c r="H13" s="1000"/>
      <c r="I13" s="1000"/>
      <c r="J13" s="1000"/>
      <c r="K13" s="1001"/>
    </row>
    <row r="14" spans="1:11" s="470" customFormat="1" ht="30" customHeight="1">
      <c r="A14" s="714"/>
      <c r="B14" s="988" t="s">
        <v>1046</v>
      </c>
      <c r="C14" s="988"/>
      <c r="D14" s="988"/>
      <c r="E14" s="988"/>
      <c r="F14" s="988"/>
      <c r="G14" s="988"/>
      <c r="H14" s="988"/>
      <c r="I14" s="988"/>
      <c r="J14" s="988"/>
      <c r="K14" s="989"/>
    </row>
    <row r="15" spans="1:11" s="470" customFormat="1" ht="35.1" customHeight="1">
      <c r="A15" s="714"/>
      <c r="B15" s="988" t="s">
        <v>1146</v>
      </c>
      <c r="C15" s="988"/>
      <c r="D15" s="988"/>
      <c r="E15" s="988"/>
      <c r="F15" s="988"/>
      <c r="G15" s="988"/>
      <c r="H15" s="988"/>
      <c r="I15" s="988"/>
      <c r="J15" s="988"/>
      <c r="K15" s="989"/>
    </row>
    <row r="16" spans="1:11" s="470" customFormat="1" ht="37.5" customHeight="1">
      <c r="A16" s="714"/>
      <c r="B16" s="990" t="s">
        <v>1147</v>
      </c>
      <c r="C16" s="990"/>
      <c r="D16" s="990"/>
      <c r="E16" s="990"/>
      <c r="F16" s="990"/>
      <c r="G16" s="990"/>
      <c r="H16" s="990"/>
      <c r="I16" s="990"/>
      <c r="J16" s="990"/>
      <c r="K16" s="991"/>
    </row>
    <row r="17" spans="1:11" s="470" customFormat="1" ht="25.05" customHeight="1">
      <c r="A17" s="714"/>
      <c r="B17" s="944" t="s">
        <v>1148</v>
      </c>
      <c r="C17" s="944"/>
      <c r="D17" s="944"/>
      <c r="E17" s="944"/>
      <c r="F17" s="944"/>
      <c r="G17" s="944"/>
      <c r="H17" s="944"/>
      <c r="I17" s="944"/>
      <c r="J17" s="944"/>
      <c r="K17" s="945"/>
    </row>
    <row r="18" spans="1:11" ht="25.05" customHeight="1">
      <c r="A18" s="94"/>
      <c r="B18" s="268"/>
      <c r="C18" s="268"/>
      <c r="D18" s="268"/>
      <c r="E18" s="268"/>
      <c r="F18" s="268"/>
      <c r="G18" s="268"/>
      <c r="H18" s="268"/>
      <c r="I18" s="268"/>
      <c r="J18" s="268"/>
      <c r="K18" s="360"/>
    </row>
    <row r="19" spans="1:11" ht="25.05" customHeight="1">
      <c r="A19" s="94"/>
      <c r="B19" s="268"/>
      <c r="C19" s="268"/>
      <c r="D19" s="268"/>
      <c r="E19" s="268"/>
      <c r="F19" s="268"/>
      <c r="G19" s="268"/>
      <c r="H19" s="268"/>
      <c r="I19" s="268"/>
      <c r="J19" s="268"/>
      <c r="K19" s="360"/>
    </row>
    <row r="20" spans="1:11">
      <c r="A20" s="94"/>
      <c r="B20" s="93"/>
      <c r="C20" s="93"/>
      <c r="D20" s="93"/>
      <c r="E20" s="93"/>
      <c r="F20" s="93"/>
      <c r="G20" s="93"/>
      <c r="H20" s="93"/>
      <c r="I20" s="93"/>
      <c r="J20" s="93"/>
      <c r="K20" s="99"/>
    </row>
    <row r="21" spans="1:11">
      <c r="A21" s="94"/>
      <c r="B21" s="93"/>
      <c r="C21" s="93"/>
      <c r="D21" s="93"/>
      <c r="E21" s="93"/>
      <c r="F21" s="93"/>
      <c r="G21" s="93"/>
      <c r="H21" s="93"/>
      <c r="I21" s="93"/>
      <c r="J21" s="93"/>
      <c r="K21" s="99"/>
    </row>
    <row r="22" spans="1:11">
      <c r="A22" s="94"/>
      <c r="B22" s="93"/>
      <c r="C22" s="93"/>
      <c r="D22" s="93"/>
      <c r="E22" s="93"/>
      <c r="F22" s="93"/>
      <c r="G22" s="93"/>
      <c r="H22" s="93"/>
      <c r="I22" s="93"/>
      <c r="J22" s="93"/>
      <c r="K22" s="99"/>
    </row>
    <row r="23" spans="1:11">
      <c r="A23" s="94"/>
      <c r="B23" s="93"/>
      <c r="C23" s="93"/>
      <c r="D23" s="93"/>
      <c r="E23" s="93"/>
      <c r="F23" s="93"/>
      <c r="G23" s="93"/>
      <c r="H23" s="93"/>
      <c r="I23" s="93"/>
      <c r="J23" s="93"/>
      <c r="K23" s="99"/>
    </row>
    <row r="24" spans="1:11">
      <c r="A24" s="94"/>
      <c r="B24" s="93"/>
      <c r="C24" s="93"/>
      <c r="D24" s="93"/>
      <c r="E24" s="93"/>
      <c r="F24" s="93"/>
      <c r="G24" s="93"/>
      <c r="H24" s="93"/>
      <c r="I24" s="93"/>
      <c r="J24" s="93"/>
      <c r="K24" s="99"/>
    </row>
    <row r="25" spans="1:11">
      <c r="A25" s="94"/>
      <c r="B25" s="93"/>
      <c r="C25" s="93"/>
      <c r="D25" s="93"/>
      <c r="E25" s="93"/>
      <c r="F25" s="93"/>
      <c r="G25" s="93"/>
      <c r="H25" s="93"/>
      <c r="I25" s="93"/>
      <c r="J25" s="93"/>
      <c r="K25" s="99"/>
    </row>
    <row r="26" spans="1:11">
      <c r="A26" s="94"/>
      <c r="B26" s="93"/>
      <c r="C26" s="93"/>
      <c r="D26" s="93"/>
      <c r="E26" s="93"/>
      <c r="F26" s="93"/>
      <c r="G26" s="93"/>
      <c r="H26" s="93"/>
      <c r="I26" s="93"/>
      <c r="J26" s="93"/>
      <c r="K26" s="99"/>
    </row>
    <row r="27" spans="1:11">
      <c r="A27" s="94"/>
      <c r="B27" s="93"/>
      <c r="C27" s="93"/>
      <c r="D27" s="93"/>
      <c r="E27" s="93"/>
      <c r="F27" s="93"/>
      <c r="G27" s="93"/>
      <c r="H27" s="93"/>
      <c r="I27" s="93"/>
      <c r="J27" s="93"/>
      <c r="K27" s="99"/>
    </row>
    <row r="28" spans="1:11">
      <c r="A28" s="94"/>
      <c r="B28" s="93"/>
      <c r="C28" s="93"/>
      <c r="D28" s="93"/>
      <c r="E28" s="93"/>
      <c r="F28" s="93"/>
      <c r="G28" s="93"/>
      <c r="H28" s="93"/>
      <c r="I28" s="93"/>
      <c r="J28" s="93"/>
      <c r="K28" s="99"/>
    </row>
    <row r="29" spans="1:11">
      <c r="A29" s="94"/>
      <c r="B29" s="93"/>
      <c r="C29" s="93"/>
      <c r="D29" s="93"/>
      <c r="E29" s="93"/>
      <c r="F29" s="93"/>
      <c r="G29" s="93"/>
      <c r="H29" s="93"/>
      <c r="I29" s="93"/>
      <c r="J29" s="93"/>
      <c r="K29" s="99"/>
    </row>
    <row r="30" spans="1:11">
      <c r="A30" s="94"/>
      <c r="B30" s="93"/>
      <c r="C30" s="93"/>
      <c r="D30" s="93"/>
      <c r="E30" s="93"/>
      <c r="F30" s="93"/>
      <c r="G30" s="93"/>
      <c r="H30" s="93"/>
      <c r="I30" s="93"/>
      <c r="J30" s="93"/>
      <c r="K30" s="99"/>
    </row>
    <row r="31" spans="1:11">
      <c r="A31" s="94"/>
      <c r="B31" s="93"/>
      <c r="C31" s="93"/>
      <c r="D31" s="93"/>
      <c r="E31" s="93"/>
      <c r="F31" s="93"/>
      <c r="G31" s="93"/>
      <c r="H31" s="93"/>
      <c r="I31" s="93"/>
      <c r="J31" s="93"/>
      <c r="K31" s="99"/>
    </row>
    <row r="32" spans="1:11">
      <c r="A32" s="94"/>
      <c r="B32" s="93"/>
      <c r="C32" s="93"/>
      <c r="D32" s="93"/>
      <c r="E32" s="93"/>
      <c r="F32" s="93"/>
      <c r="G32" s="93"/>
      <c r="H32" s="93"/>
      <c r="I32" s="93"/>
      <c r="J32" s="93"/>
      <c r="K32" s="99"/>
    </row>
    <row r="33" spans="1:11">
      <c r="A33" s="94"/>
      <c r="B33" s="93"/>
      <c r="C33" s="93"/>
      <c r="D33" s="93"/>
      <c r="E33" s="93"/>
      <c r="F33" s="93"/>
      <c r="G33" s="93"/>
      <c r="H33" s="93"/>
      <c r="I33" s="93"/>
      <c r="J33" s="93"/>
      <c r="K33" s="99"/>
    </row>
    <row r="34" spans="1:11" ht="14.4" customHeight="1" thickBot="1">
      <c r="A34" s="105"/>
      <c r="B34" s="106"/>
      <c r="C34" s="106"/>
      <c r="D34" s="106"/>
      <c r="E34" s="106"/>
      <c r="F34" s="106"/>
      <c r="G34" s="106"/>
      <c r="H34" s="106"/>
      <c r="I34" s="106"/>
      <c r="J34" s="106"/>
      <c r="K34" s="107"/>
    </row>
  </sheetData>
  <mergeCells count="15">
    <mergeCell ref="B14:K14"/>
    <mergeCell ref="B15:K15"/>
    <mergeCell ref="B16:K16"/>
    <mergeCell ref="A1:K1"/>
    <mergeCell ref="B12:K12"/>
    <mergeCell ref="B9:K9"/>
    <mergeCell ref="B6:K6"/>
    <mergeCell ref="B13:K13"/>
    <mergeCell ref="A4:K4"/>
    <mergeCell ref="A3:K3"/>
    <mergeCell ref="A2:K2"/>
    <mergeCell ref="B7:K7"/>
    <mergeCell ref="B8:K8"/>
    <mergeCell ref="B10:K10"/>
    <mergeCell ref="B11:K11"/>
  </mergeCells>
  <phoneticPr fontId="14" type="noConversion"/>
  <printOptions horizontalCentered="1"/>
  <pageMargins left="0.6692913385826772" right="0.6692913385826772" top="0.59055118110236227" bottom="0.78740157480314965" header="0.51181102362204722" footer="0.51181102362204722"/>
  <pageSetup paperSize="9" firstPageNumber="16" orientation="portrait" useFirstPageNumber="1" r:id="rId1"/>
  <headerFooter scaleWithDoc="0" alignWithMargins="0">
    <oddFooter>&amp;C&amp;"Arial Unicode MS,標準"&amp;P</oddFooter>
  </headerFooter>
</worksheet>
</file>

<file path=xl/worksheets/sheet11.xml><?xml version="1.0" encoding="utf-8"?>
<worksheet xmlns="http://schemas.openxmlformats.org/spreadsheetml/2006/main" xmlns:r="http://schemas.openxmlformats.org/officeDocument/2006/relationships">
  <sheetPr codeName="Sheet12">
    <tabColor rgb="FFFFFFCC"/>
  </sheetPr>
  <dimension ref="A1:H38"/>
  <sheetViews>
    <sheetView view="pageBreakPreview" topLeftCell="A16" zoomScale="70" zoomScaleNormal="100" zoomScaleSheetLayoutView="70" workbookViewId="0">
      <selection activeCell="C20" sqref="C20"/>
    </sheetView>
  </sheetViews>
  <sheetFormatPr defaultColWidth="9" defaultRowHeight="16.2"/>
  <cols>
    <col min="1" max="1" width="14.21875" style="628" customWidth="1"/>
    <col min="2" max="2" width="8.77734375" style="628" customWidth="1"/>
    <col min="3" max="3" width="17.6640625" style="628" customWidth="1"/>
    <col min="4" max="4" width="8.44140625" style="628" customWidth="1"/>
    <col min="5" max="5" width="14.109375" style="628" customWidth="1"/>
    <col min="6" max="6" width="8.6640625" style="628" customWidth="1"/>
    <col min="7" max="7" width="20.6640625" style="628" customWidth="1"/>
    <col min="8" max="16384" width="9" style="628"/>
  </cols>
  <sheetData>
    <row r="1" spans="1:8" s="626" customFormat="1" ht="24.6">
      <c r="A1" s="1010" t="s">
        <v>152</v>
      </c>
      <c r="B1" s="1010"/>
      <c r="C1" s="1010"/>
      <c r="D1" s="1010"/>
      <c r="E1" s="1010"/>
      <c r="F1" s="1010"/>
      <c r="G1" s="1010"/>
      <c r="H1" s="625"/>
    </row>
    <row r="2" spans="1:8" ht="22.2">
      <c r="A2" s="1011" t="s">
        <v>153</v>
      </c>
      <c r="B2" s="1011"/>
      <c r="C2" s="1011"/>
      <c r="D2" s="1011"/>
      <c r="E2" s="1011"/>
      <c r="F2" s="1011"/>
      <c r="G2" s="1011"/>
      <c r="H2" s="627"/>
    </row>
    <row r="3" spans="1:8" ht="22.2">
      <c r="A3" s="1012" t="s">
        <v>138</v>
      </c>
      <c r="B3" s="1012"/>
      <c r="C3" s="1012"/>
      <c r="D3" s="1012"/>
      <c r="E3" s="1012"/>
      <c r="F3" s="1012"/>
      <c r="G3" s="1012"/>
      <c r="H3" s="629"/>
    </row>
    <row r="4" spans="1:8" ht="19.8">
      <c r="A4" s="1009" t="s">
        <v>1047</v>
      </c>
      <c r="B4" s="1009"/>
      <c r="C4" s="1009"/>
      <c r="D4" s="1009"/>
      <c r="E4" s="1009"/>
      <c r="F4" s="1009"/>
      <c r="G4" s="1009"/>
      <c r="H4" s="612"/>
    </row>
    <row r="5" spans="1:8" s="611" customFormat="1" ht="16.8" thickBot="1">
      <c r="A5" s="630"/>
      <c r="B5" s="630"/>
      <c r="C5" s="630"/>
      <c r="D5" s="630"/>
      <c r="E5" s="630"/>
      <c r="F5" s="630"/>
      <c r="G5" s="613" t="s">
        <v>672</v>
      </c>
      <c r="H5" s="630"/>
    </row>
    <row r="6" spans="1:8" s="624" customFormat="1" ht="21" customHeight="1">
      <c r="A6" s="1015" t="s">
        <v>164</v>
      </c>
      <c r="B6" s="1014"/>
      <c r="C6" s="1018" t="s">
        <v>321</v>
      </c>
      <c r="D6" s="1019"/>
      <c r="E6" s="1013" t="s">
        <v>1076</v>
      </c>
      <c r="F6" s="1014"/>
      <c r="G6" s="1016" t="s">
        <v>154</v>
      </c>
    </row>
    <row r="7" spans="1:8" s="624" customFormat="1" ht="21" customHeight="1">
      <c r="A7" s="615" t="s">
        <v>340</v>
      </c>
      <c r="B7" s="631" t="s">
        <v>165</v>
      </c>
      <c r="C7" s="1020"/>
      <c r="D7" s="1021"/>
      <c r="E7" s="616" t="s">
        <v>1077</v>
      </c>
      <c r="F7" s="631" t="s">
        <v>1078</v>
      </c>
      <c r="G7" s="1017"/>
    </row>
    <row r="8" spans="1:8" s="624" customFormat="1" ht="22.05" customHeight="1">
      <c r="A8" s="950">
        <f>SUM(A9:A10)</f>
        <v>65603</v>
      </c>
      <c r="B8" s="632">
        <f>A8/$A$18*100</f>
        <v>100</v>
      </c>
      <c r="C8" s="633" t="s">
        <v>341</v>
      </c>
      <c r="D8" s="634"/>
      <c r="E8" s="206">
        <f>SUM(E9:E11)</f>
        <v>121848</v>
      </c>
      <c r="F8" s="635">
        <f>E8/$E$8*100</f>
        <v>100</v>
      </c>
      <c r="G8" s="636"/>
    </row>
    <row r="9" spans="1:8" s="624" customFormat="1" ht="22.05" customHeight="1">
      <c r="A9" s="273">
        <v>10308</v>
      </c>
      <c r="B9" s="637">
        <f>A9/$A$18*100</f>
        <v>15.712696065728702</v>
      </c>
      <c r="C9" s="346" t="s">
        <v>342</v>
      </c>
      <c r="D9" s="638"/>
      <c r="E9" s="206">
        <f>'15.收支預計表'!D31</f>
        <v>10508</v>
      </c>
      <c r="F9" s="635">
        <f t="shared" ref="F9:F26" si="0">E9/$E$8*100</f>
        <v>8.6238592344560434</v>
      </c>
      <c r="G9" s="639" t="s">
        <v>166</v>
      </c>
    </row>
    <row r="10" spans="1:8" s="624" customFormat="1" ht="22.05" customHeight="1">
      <c r="A10" s="273">
        <v>55295</v>
      </c>
      <c r="B10" s="637">
        <f>A10/$A$18*100</f>
        <v>84.287303934271293</v>
      </c>
      <c r="C10" s="640" t="s">
        <v>343</v>
      </c>
      <c r="D10" s="638"/>
      <c r="E10" s="641">
        <f>110534+806</f>
        <v>111340</v>
      </c>
      <c r="F10" s="642">
        <f t="shared" si="0"/>
        <v>91.376140765543951</v>
      </c>
      <c r="G10" s="639" t="s">
        <v>166</v>
      </c>
    </row>
    <row r="11" spans="1:8" s="624" customFormat="1" ht="22.05" customHeight="1">
      <c r="A11" s="273">
        <v>0</v>
      </c>
      <c r="B11" s="643">
        <v>0</v>
      </c>
      <c r="C11" s="640" t="s">
        <v>344</v>
      </c>
      <c r="D11" s="638"/>
      <c r="E11" s="641">
        <f>SUM(E12:E15)</f>
        <v>0</v>
      </c>
      <c r="F11" s="641">
        <f t="shared" si="0"/>
        <v>0</v>
      </c>
      <c r="G11" s="639"/>
    </row>
    <row r="12" spans="1:8" s="624" customFormat="1" ht="22.05" customHeight="1">
      <c r="A12" s="273">
        <v>0</v>
      </c>
      <c r="B12" s="643">
        <v>0</v>
      </c>
      <c r="C12" s="644" t="s">
        <v>345</v>
      </c>
      <c r="D12" s="645"/>
      <c r="E12" s="641">
        <f>SUM(E13:E17)</f>
        <v>0</v>
      </c>
      <c r="F12" s="641">
        <f t="shared" si="0"/>
        <v>0</v>
      </c>
      <c r="G12" s="646"/>
    </row>
    <row r="13" spans="1:8" s="624" customFormat="1" ht="22.05" customHeight="1">
      <c r="A13" s="273">
        <v>0</v>
      </c>
      <c r="B13" s="643">
        <v>0</v>
      </c>
      <c r="C13" s="640" t="s">
        <v>346</v>
      </c>
      <c r="D13" s="647"/>
      <c r="E13" s="641">
        <v>0</v>
      </c>
      <c r="F13" s="643">
        <f t="shared" si="0"/>
        <v>0</v>
      </c>
      <c r="G13" s="646"/>
    </row>
    <row r="14" spans="1:8" s="624" customFormat="1" ht="22.05" customHeight="1">
      <c r="A14" s="273">
        <v>0</v>
      </c>
      <c r="B14" s="643">
        <v>0</v>
      </c>
      <c r="C14" s="640" t="s">
        <v>347</v>
      </c>
      <c r="D14" s="647"/>
      <c r="E14" s="641">
        <v>0</v>
      </c>
      <c r="F14" s="643">
        <v>0</v>
      </c>
      <c r="G14" s="646"/>
    </row>
    <row r="15" spans="1:8" s="624" customFormat="1" ht="22.05" customHeight="1">
      <c r="A15" s="273">
        <v>0</v>
      </c>
      <c r="B15" s="643">
        <v>0</v>
      </c>
      <c r="C15" s="640" t="s">
        <v>348</v>
      </c>
      <c r="D15" s="647"/>
      <c r="E15" s="641">
        <v>0</v>
      </c>
      <c r="F15" s="643">
        <f t="shared" si="0"/>
        <v>0</v>
      </c>
      <c r="G15" s="648"/>
    </row>
    <row r="16" spans="1:8" s="624" customFormat="1" ht="22.05" customHeight="1">
      <c r="A16" s="273">
        <v>0</v>
      </c>
      <c r="B16" s="643">
        <v>0</v>
      </c>
      <c r="C16" s="640" t="s">
        <v>349</v>
      </c>
      <c r="D16" s="647"/>
      <c r="E16" s="641">
        <v>0</v>
      </c>
      <c r="F16" s="643">
        <f t="shared" si="0"/>
        <v>0</v>
      </c>
      <c r="G16" s="648"/>
    </row>
    <row r="17" spans="1:7" s="624" customFormat="1" ht="22.05" customHeight="1">
      <c r="A17" s="273">
        <v>0</v>
      </c>
      <c r="B17" s="643">
        <v>0</v>
      </c>
      <c r="C17" s="640" t="s">
        <v>350</v>
      </c>
      <c r="D17" s="647"/>
      <c r="E17" s="641">
        <v>0</v>
      </c>
      <c r="F17" s="643">
        <v>0</v>
      </c>
      <c r="G17" s="648"/>
    </row>
    <row r="18" spans="1:7" s="624" customFormat="1" ht="22.05" customHeight="1">
      <c r="A18" s="273">
        <f>A8</f>
        <v>65603</v>
      </c>
      <c r="B18" s="637">
        <v>100</v>
      </c>
      <c r="C18" s="644" t="s">
        <v>282</v>
      </c>
      <c r="D18" s="647"/>
      <c r="E18" s="206">
        <f>E8</f>
        <v>121848</v>
      </c>
      <c r="F18" s="635">
        <f t="shared" si="0"/>
        <v>100</v>
      </c>
      <c r="G18" s="649"/>
    </row>
    <row r="19" spans="1:7" s="624" customFormat="1" ht="22.05" customHeight="1">
      <c r="A19" s="273">
        <v>0</v>
      </c>
      <c r="B19" s="643">
        <v>0</v>
      </c>
      <c r="C19" s="644" t="s">
        <v>322</v>
      </c>
      <c r="D19" s="650"/>
      <c r="E19" s="641">
        <v>0</v>
      </c>
      <c r="F19" s="643">
        <f t="shared" si="0"/>
        <v>0</v>
      </c>
      <c r="G19" s="646" t="s">
        <v>167</v>
      </c>
    </row>
    <row r="20" spans="1:7" s="624" customFormat="1" ht="22.05" customHeight="1">
      <c r="A20" s="273">
        <v>0</v>
      </c>
      <c r="B20" s="643">
        <v>0</v>
      </c>
      <c r="C20" s="640" t="s">
        <v>323</v>
      </c>
      <c r="D20" s="651"/>
      <c r="E20" s="641">
        <v>0</v>
      </c>
      <c r="F20" s="643">
        <f t="shared" si="0"/>
        <v>0</v>
      </c>
      <c r="G20" s="646"/>
    </row>
    <row r="21" spans="1:7" s="624" customFormat="1" ht="22.05" customHeight="1">
      <c r="A21" s="273">
        <v>0</v>
      </c>
      <c r="B21" s="643">
        <v>0</v>
      </c>
      <c r="C21" s="640" t="s">
        <v>324</v>
      </c>
      <c r="D21" s="651"/>
      <c r="E21" s="641">
        <v>0</v>
      </c>
      <c r="F21" s="643">
        <f t="shared" si="0"/>
        <v>0</v>
      </c>
      <c r="G21" s="646"/>
    </row>
    <row r="22" spans="1:7" s="624" customFormat="1" ht="22.05" customHeight="1">
      <c r="A22" s="273">
        <v>0</v>
      </c>
      <c r="B22" s="643">
        <v>0</v>
      </c>
      <c r="C22" s="644" t="s">
        <v>325</v>
      </c>
      <c r="D22" s="651"/>
      <c r="E22" s="641">
        <v>0</v>
      </c>
      <c r="F22" s="643">
        <f t="shared" si="0"/>
        <v>0</v>
      </c>
      <c r="G22" s="646"/>
    </row>
    <row r="23" spans="1:7" s="624" customFormat="1" ht="22.05" customHeight="1">
      <c r="A23" s="273">
        <v>0</v>
      </c>
      <c r="B23" s="643">
        <v>0</v>
      </c>
      <c r="C23" s="640" t="s">
        <v>326</v>
      </c>
      <c r="D23" s="651"/>
      <c r="E23" s="641">
        <v>0</v>
      </c>
      <c r="F23" s="643">
        <f t="shared" si="0"/>
        <v>0</v>
      </c>
      <c r="G23" s="646"/>
    </row>
    <row r="24" spans="1:7" s="624" customFormat="1" ht="22.05" customHeight="1">
      <c r="A24" s="273">
        <v>0</v>
      </c>
      <c r="B24" s="643">
        <v>0</v>
      </c>
      <c r="C24" s="640" t="s">
        <v>327</v>
      </c>
      <c r="D24" s="651"/>
      <c r="E24" s="641">
        <v>0</v>
      </c>
      <c r="F24" s="643">
        <f t="shared" si="0"/>
        <v>0</v>
      </c>
      <c r="G24" s="646"/>
    </row>
    <row r="25" spans="1:7" s="624" customFormat="1" ht="22.05" customHeight="1">
      <c r="A25" s="273">
        <v>0</v>
      </c>
      <c r="B25" s="643">
        <v>0</v>
      </c>
      <c r="C25" s="640" t="s">
        <v>328</v>
      </c>
      <c r="D25" s="651"/>
      <c r="E25" s="641">
        <v>0</v>
      </c>
      <c r="F25" s="643">
        <f t="shared" si="0"/>
        <v>0</v>
      </c>
      <c r="G25" s="646"/>
    </row>
    <row r="26" spans="1:7" s="624" customFormat="1" ht="22.05" customHeight="1">
      <c r="A26" s="273">
        <v>0</v>
      </c>
      <c r="B26" s="643">
        <v>0</v>
      </c>
      <c r="C26" s="640" t="s">
        <v>329</v>
      </c>
      <c r="D26" s="651"/>
      <c r="E26" s="641">
        <v>0</v>
      </c>
      <c r="F26" s="643">
        <f t="shared" si="0"/>
        <v>0</v>
      </c>
      <c r="G26" s="646"/>
    </row>
    <row r="27" spans="1:7" s="624" customFormat="1" ht="22.05" customHeight="1">
      <c r="A27" s="652"/>
      <c r="B27" s="351"/>
      <c r="C27" s="653"/>
      <c r="D27" s="654"/>
      <c r="E27" s="655"/>
      <c r="F27" s="656"/>
      <c r="G27" s="646"/>
    </row>
    <row r="28" spans="1:7" s="624" customFormat="1" ht="22.05" customHeight="1">
      <c r="A28" s="652"/>
      <c r="B28" s="351"/>
      <c r="C28" s="653"/>
      <c r="D28" s="654"/>
      <c r="E28" s="655"/>
      <c r="F28" s="656"/>
      <c r="G28" s="646"/>
    </row>
    <row r="29" spans="1:7" s="624" customFormat="1" ht="22.05" customHeight="1">
      <c r="A29" s="652"/>
      <c r="B29" s="351"/>
      <c r="C29" s="653"/>
      <c r="D29" s="654"/>
      <c r="E29" s="655"/>
      <c r="F29" s="656"/>
      <c r="G29" s="646"/>
    </row>
    <row r="30" spans="1:7" s="624" customFormat="1" ht="22.05" customHeight="1">
      <c r="A30" s="652"/>
      <c r="B30" s="351"/>
      <c r="C30" s="653"/>
      <c r="D30" s="654"/>
      <c r="E30" s="657"/>
      <c r="F30" s="657"/>
      <c r="G30" s="646"/>
    </row>
    <row r="31" spans="1:7" s="624" customFormat="1" ht="22.05" customHeight="1">
      <c r="A31" s="652"/>
      <c r="B31" s="351"/>
      <c r="C31" s="653"/>
      <c r="D31" s="654"/>
      <c r="E31" s="657"/>
      <c r="F31" s="657"/>
      <c r="G31" s="646"/>
    </row>
    <row r="32" spans="1:7" s="624" customFormat="1" ht="22.05" customHeight="1">
      <c r="A32" s="652"/>
      <c r="B32" s="351"/>
      <c r="C32" s="653"/>
      <c r="D32" s="654"/>
      <c r="E32" s="657"/>
      <c r="F32" s="657"/>
      <c r="G32" s="646"/>
    </row>
    <row r="33" spans="1:7" s="624" customFormat="1" ht="22.05" customHeight="1">
      <c r="A33" s="652"/>
      <c r="B33" s="351"/>
      <c r="C33" s="653"/>
      <c r="D33" s="654"/>
      <c r="E33" s="657"/>
      <c r="F33" s="657"/>
      <c r="G33" s="646"/>
    </row>
    <row r="34" spans="1:7" s="624" customFormat="1" ht="22.05" customHeight="1">
      <c r="A34" s="652"/>
      <c r="B34" s="351"/>
      <c r="C34" s="653"/>
      <c r="D34" s="654"/>
      <c r="E34" s="657"/>
      <c r="F34" s="657"/>
      <c r="G34" s="646"/>
    </row>
    <row r="35" spans="1:7" s="624" customFormat="1" ht="22.05" customHeight="1">
      <c r="A35" s="652"/>
      <c r="B35" s="351"/>
      <c r="C35" s="653"/>
      <c r="D35" s="654"/>
      <c r="E35" s="657"/>
      <c r="F35" s="657"/>
      <c r="G35" s="646"/>
    </row>
    <row r="36" spans="1:7" s="624" customFormat="1" ht="22.05" customHeight="1">
      <c r="A36" s="658"/>
      <c r="B36" s="351"/>
      <c r="C36" s="659"/>
      <c r="D36" s="654"/>
      <c r="E36" s="657"/>
      <c r="F36" s="657"/>
      <c r="G36" s="646"/>
    </row>
    <row r="37" spans="1:7" s="624" customFormat="1" ht="22.05" customHeight="1" thickBot="1">
      <c r="A37" s="620"/>
      <c r="B37" s="622"/>
      <c r="C37" s="660"/>
      <c r="D37" s="661"/>
      <c r="E37" s="621"/>
      <c r="F37" s="621"/>
      <c r="G37" s="662"/>
    </row>
    <row r="38" spans="1:7">
      <c r="D38" s="630"/>
    </row>
  </sheetData>
  <mergeCells count="8">
    <mergeCell ref="A4:G4"/>
    <mergeCell ref="A1:G1"/>
    <mergeCell ref="A2:G2"/>
    <mergeCell ref="A3:G3"/>
    <mergeCell ref="E6:F6"/>
    <mergeCell ref="A6:B6"/>
    <mergeCell ref="G6:G7"/>
    <mergeCell ref="C6:D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17" orientation="portrait" blackAndWhite="1" useFirstPageNumber="1" r:id="rId1"/>
  <headerFooter scaleWithDoc="0" alignWithMargins="0">
    <oddFooter>&amp;C&amp;"Arial Unicode MS,標準"&amp;P</oddFooter>
  </headerFooter>
</worksheet>
</file>

<file path=xl/worksheets/sheet12.xml><?xml version="1.0" encoding="utf-8"?>
<worksheet xmlns="http://schemas.openxmlformats.org/spreadsheetml/2006/main" xmlns:r="http://schemas.openxmlformats.org/officeDocument/2006/relationships">
  <sheetPr codeName="Sheet13">
    <tabColor rgb="FFFFFFCC"/>
  </sheetPr>
  <dimension ref="A1:IU39"/>
  <sheetViews>
    <sheetView view="pageBreakPreview" topLeftCell="A24" zoomScaleNormal="75" zoomScaleSheetLayoutView="100" workbookViewId="0">
      <selection activeCell="C20" sqref="C20"/>
    </sheetView>
  </sheetViews>
  <sheetFormatPr defaultColWidth="9" defaultRowHeight="16.2"/>
  <cols>
    <col min="1" max="1" width="44.6640625" style="34" customWidth="1"/>
    <col min="2" max="2" width="17.33203125" style="72" customWidth="1"/>
    <col min="3" max="3" width="30" style="34" customWidth="1"/>
    <col min="4" max="4" width="10" style="166" bestFit="1" customWidth="1"/>
    <col min="5" max="6" width="9" style="166" bestFit="1"/>
    <col min="7" max="7" width="9.109375" style="34" bestFit="1" customWidth="1"/>
    <col min="8" max="16384" width="9" style="34"/>
  </cols>
  <sheetData>
    <row r="1" spans="1:8" ht="24.6">
      <c r="A1" s="1022" t="s">
        <v>473</v>
      </c>
      <c r="B1" s="1022"/>
      <c r="C1" s="1022"/>
      <c r="D1" s="161"/>
      <c r="E1" s="161"/>
      <c r="F1" s="161"/>
      <c r="G1" s="36"/>
      <c r="H1" s="36"/>
    </row>
    <row r="2" spans="1:8" ht="22.2">
      <c r="A2" s="1023" t="s">
        <v>474</v>
      </c>
      <c r="B2" s="1023"/>
      <c r="C2" s="1023"/>
      <c r="D2" s="162"/>
      <c r="E2" s="162"/>
      <c r="F2" s="162"/>
      <c r="G2" s="37"/>
      <c r="H2" s="37"/>
    </row>
    <row r="3" spans="1:8" ht="22.2">
      <c r="A3" s="1024" t="s">
        <v>316</v>
      </c>
      <c r="B3" s="1024"/>
      <c r="C3" s="1024"/>
      <c r="D3" s="163"/>
      <c r="E3" s="163"/>
      <c r="F3" s="163"/>
      <c r="G3" s="38"/>
      <c r="H3" s="38"/>
    </row>
    <row r="4" spans="1:8" ht="19.8">
      <c r="A4" s="1025" t="s">
        <v>1047</v>
      </c>
      <c r="B4" s="1025"/>
      <c r="C4" s="1025"/>
      <c r="D4" s="164"/>
      <c r="E4" s="164"/>
      <c r="F4" s="164"/>
      <c r="G4" s="39"/>
      <c r="H4" s="39"/>
    </row>
    <row r="5" spans="1:8" ht="17.25" customHeight="1" thickBot="1">
      <c r="A5" s="36"/>
      <c r="B5" s="274"/>
      <c r="C5" s="92" t="s">
        <v>672</v>
      </c>
      <c r="D5" s="161"/>
      <c r="E5" s="161"/>
      <c r="F5" s="161"/>
      <c r="G5" s="36"/>
      <c r="H5" s="36"/>
    </row>
    <row r="6" spans="1:8" ht="21" customHeight="1">
      <c r="A6" s="1028" t="s">
        <v>330</v>
      </c>
      <c r="B6" s="1030" t="s">
        <v>351</v>
      </c>
      <c r="C6" s="1032" t="s">
        <v>352</v>
      </c>
      <c r="D6" s="165"/>
      <c r="E6" s="164"/>
      <c r="F6" s="164"/>
      <c r="G6" s="41"/>
      <c r="H6" s="41"/>
    </row>
    <row r="7" spans="1:8" ht="21" customHeight="1">
      <c r="A7" s="1029"/>
      <c r="B7" s="1031"/>
      <c r="C7" s="1033"/>
      <c r="D7" s="90"/>
    </row>
    <row r="8" spans="1:8" ht="30" customHeight="1">
      <c r="A8" s="213" t="s">
        <v>353</v>
      </c>
      <c r="B8" s="282"/>
      <c r="C8" s="277"/>
      <c r="D8" s="90"/>
    </row>
    <row r="9" spans="1:8" s="51" customFormat="1" ht="30" customHeight="1">
      <c r="A9" s="275" t="s">
        <v>354</v>
      </c>
      <c r="B9" s="855">
        <f>'15.收支預計表'!D31</f>
        <v>10508</v>
      </c>
      <c r="C9" s="856"/>
      <c r="D9" s="89"/>
      <c r="E9" s="160"/>
      <c r="F9" s="160"/>
    </row>
    <row r="10" spans="1:8" s="51" customFormat="1" ht="30" customHeight="1">
      <c r="A10" s="275" t="s">
        <v>355</v>
      </c>
      <c r="B10" s="276">
        <f>SUM(B14,B15,B16,B17)</f>
        <v>29611</v>
      </c>
      <c r="C10" s="857" t="s">
        <v>1055</v>
      </c>
      <c r="D10" s="89" t="s">
        <v>317</v>
      </c>
      <c r="E10" s="160" t="s">
        <v>318</v>
      </c>
      <c r="F10" s="160" t="s">
        <v>319</v>
      </c>
      <c r="G10" s="51" t="s">
        <v>320</v>
      </c>
    </row>
    <row r="11" spans="1:8" s="51" customFormat="1" ht="22.05" customHeight="1">
      <c r="A11" s="275"/>
      <c r="B11" s="276"/>
      <c r="C11" s="857" t="s">
        <v>1056</v>
      </c>
      <c r="D11" s="89"/>
      <c r="E11" s="160"/>
      <c r="F11" s="160"/>
    </row>
    <row r="12" spans="1:8" s="51" customFormat="1" ht="22.05" customHeight="1">
      <c r="A12" s="275"/>
      <c r="B12" s="276"/>
      <c r="C12" s="857" t="s">
        <v>1058</v>
      </c>
      <c r="D12" s="89"/>
      <c r="E12" s="160"/>
      <c r="F12" s="160"/>
    </row>
    <row r="13" spans="1:8" s="51" customFormat="1" ht="22.05" customHeight="1">
      <c r="A13" s="275"/>
      <c r="B13" s="276"/>
      <c r="C13" s="857" t="s">
        <v>1057</v>
      </c>
      <c r="D13" s="89"/>
      <c r="E13" s="160"/>
      <c r="F13" s="160"/>
    </row>
    <row r="14" spans="1:8" s="51" customFormat="1" ht="22.05" hidden="1" customHeight="1">
      <c r="A14" s="278" t="s">
        <v>331</v>
      </c>
      <c r="B14" s="276">
        <f>G14</f>
        <v>21109</v>
      </c>
      <c r="C14" s="858"/>
      <c r="D14" s="89">
        <v>17641</v>
      </c>
      <c r="E14" s="160">
        <v>1099</v>
      </c>
      <c r="F14" s="160">
        <v>2369</v>
      </c>
      <c r="G14" s="168">
        <f>SUM(D14:F14)</f>
        <v>21109</v>
      </c>
    </row>
    <row r="15" spans="1:8" s="51" customFormat="1" ht="21.75" hidden="1" customHeight="1">
      <c r="A15" s="278" t="s">
        <v>362</v>
      </c>
      <c r="B15" s="276">
        <v>21247</v>
      </c>
      <c r="C15" s="858"/>
      <c r="D15" s="89"/>
      <c r="E15" s="160"/>
      <c r="F15" s="160"/>
    </row>
    <row r="16" spans="1:8" s="51" customFormat="1" ht="22.05" hidden="1" customHeight="1">
      <c r="A16" s="278" t="s">
        <v>332</v>
      </c>
      <c r="B16" s="855">
        <f>-('39.預計平衡表'!E11+'39.預計平衡表'!E14)</f>
        <v>-1395</v>
      </c>
      <c r="C16" s="859"/>
      <c r="D16" s="89"/>
      <c r="E16" s="160"/>
      <c r="F16" s="160"/>
    </row>
    <row r="17" spans="1:255" s="51" customFormat="1" ht="22.05" hidden="1" customHeight="1">
      <c r="A17" s="278" t="s">
        <v>363</v>
      </c>
      <c r="B17" s="276">
        <f>'39.預計平衡表'!E40</f>
        <v>-11350</v>
      </c>
      <c r="C17" s="859"/>
      <c r="D17" s="89"/>
      <c r="E17" s="160"/>
      <c r="F17" s="160"/>
    </row>
    <row r="18" spans="1:255" s="51" customFormat="1" ht="30" customHeight="1">
      <c r="A18" s="279" t="s">
        <v>365</v>
      </c>
      <c r="B18" s="276">
        <f>SUM(B9:B10)</f>
        <v>40119</v>
      </c>
      <c r="C18" s="856"/>
      <c r="D18" s="89"/>
      <c r="E18" s="160"/>
      <c r="F18" s="160"/>
    </row>
    <row r="19" spans="1:255" s="51" customFormat="1" ht="30" customHeight="1">
      <c r="A19" s="215" t="s">
        <v>746</v>
      </c>
      <c r="B19" s="276"/>
      <c r="C19" s="277"/>
      <c r="D19" s="89"/>
      <c r="E19" s="160"/>
      <c r="F19" s="160"/>
    </row>
    <row r="20" spans="1:255" s="51" customFormat="1" ht="30" customHeight="1">
      <c r="A20" s="280" t="s">
        <v>356</v>
      </c>
      <c r="B20" s="276">
        <f>SUM(B21)</f>
        <v>-18283</v>
      </c>
      <c r="C20" s="860" t="s">
        <v>1060</v>
      </c>
      <c r="D20" s="89"/>
      <c r="E20" s="160"/>
      <c r="F20" s="160"/>
    </row>
    <row r="21" spans="1:255" s="51" customFormat="1" ht="30" customHeight="1">
      <c r="A21" s="280" t="s">
        <v>357</v>
      </c>
      <c r="B21" s="276">
        <f>-G21</f>
        <v>-18283</v>
      </c>
      <c r="C21" s="860" t="s">
        <v>1061</v>
      </c>
      <c r="D21" s="89">
        <v>16745</v>
      </c>
      <c r="E21" s="160"/>
      <c r="F21" s="160">
        <v>1538</v>
      </c>
      <c r="G21" s="168">
        <f>SUM(D21:F21)</f>
        <v>18283</v>
      </c>
    </row>
    <row r="22" spans="1:255" s="51" customFormat="1" ht="30" hidden="1" customHeight="1">
      <c r="A22" s="280"/>
      <c r="B22" s="276"/>
      <c r="C22" s="860"/>
      <c r="D22" s="89"/>
      <c r="E22" s="160"/>
      <c r="F22" s="160"/>
      <c r="G22" s="168"/>
    </row>
    <row r="23" spans="1:255" s="67" customFormat="1" ht="30" customHeight="1">
      <c r="A23" s="281" t="s">
        <v>364</v>
      </c>
      <c r="B23" s="855">
        <f>B24</f>
        <v>-13616</v>
      </c>
      <c r="C23" s="861" t="s">
        <v>942</v>
      </c>
      <c r="D23" s="167"/>
      <c r="E23" s="167"/>
      <c r="F23" s="167"/>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c r="BO23" s="68"/>
      <c r="BP23" s="68"/>
      <c r="BQ23" s="68"/>
      <c r="BR23" s="68"/>
      <c r="BS23" s="68"/>
      <c r="BT23" s="68"/>
      <c r="BU23" s="68"/>
      <c r="BV23" s="68"/>
      <c r="BW23" s="68"/>
      <c r="BX23" s="68"/>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c r="DI23" s="68"/>
      <c r="DJ23" s="68"/>
      <c r="DK23" s="68"/>
      <c r="DL23" s="68"/>
      <c r="DM23" s="68"/>
      <c r="DN23" s="68"/>
      <c r="DO23" s="68"/>
      <c r="DP23" s="68"/>
      <c r="DQ23" s="68"/>
      <c r="DR23" s="68"/>
      <c r="DS23" s="68"/>
      <c r="DT23" s="68"/>
      <c r="DU23" s="68"/>
      <c r="DV23" s="68"/>
      <c r="DW23" s="68"/>
      <c r="DX23" s="68"/>
      <c r="DY23" s="68"/>
      <c r="DZ23" s="68"/>
      <c r="EA23" s="68"/>
      <c r="EB23" s="68"/>
      <c r="EC23" s="68"/>
      <c r="ED23" s="68"/>
      <c r="EE23" s="68"/>
      <c r="EF23" s="68"/>
      <c r="EG23" s="68"/>
      <c r="EH23" s="68"/>
      <c r="EI23" s="68"/>
      <c r="EJ23" s="68"/>
      <c r="EK23" s="68"/>
      <c r="EL23" s="68"/>
      <c r="EM23" s="68"/>
      <c r="EN23" s="68"/>
      <c r="EO23" s="68"/>
      <c r="EP23" s="68"/>
      <c r="EQ23" s="68"/>
      <c r="ER23" s="68"/>
      <c r="ES23" s="68"/>
      <c r="ET23" s="68"/>
      <c r="EU23" s="68"/>
      <c r="EV23" s="68"/>
      <c r="EW23" s="68"/>
      <c r="EX23" s="68"/>
      <c r="EY23" s="68"/>
      <c r="EZ23" s="68"/>
      <c r="FA23" s="68"/>
      <c r="FB23" s="68"/>
      <c r="FC23" s="68"/>
      <c r="FD23" s="68"/>
      <c r="FE23" s="68"/>
      <c r="FF23" s="68"/>
      <c r="FG23" s="68"/>
      <c r="FH23" s="68"/>
      <c r="FI23" s="68"/>
      <c r="FJ23" s="68"/>
      <c r="FK23" s="68"/>
      <c r="FL23" s="68"/>
      <c r="FM23" s="68"/>
      <c r="FN23" s="68"/>
      <c r="FO23" s="68"/>
      <c r="FP23" s="68"/>
      <c r="FQ23" s="68"/>
      <c r="FR23" s="68"/>
      <c r="FS23" s="68"/>
      <c r="FT23" s="68"/>
      <c r="FU23" s="68"/>
      <c r="FV23" s="68"/>
      <c r="FW23" s="68"/>
      <c r="FX23" s="68"/>
      <c r="FY23" s="68"/>
      <c r="FZ23" s="68"/>
      <c r="GA23" s="68"/>
      <c r="GB23" s="68"/>
      <c r="GC23" s="68"/>
      <c r="GD23" s="68"/>
      <c r="GE23" s="68"/>
      <c r="GF23" s="68"/>
      <c r="GG23" s="68"/>
      <c r="GH23" s="68"/>
      <c r="GI23" s="68"/>
      <c r="GJ23" s="68"/>
      <c r="GK23" s="68"/>
      <c r="GL23" s="68"/>
      <c r="GM23" s="68"/>
      <c r="GN23" s="68"/>
      <c r="GO23" s="68"/>
      <c r="GP23" s="68"/>
      <c r="GQ23" s="68"/>
      <c r="GR23" s="68"/>
      <c r="GS23" s="68"/>
      <c r="GT23" s="68"/>
      <c r="GU23" s="68"/>
      <c r="GV23" s="68"/>
      <c r="GW23" s="68"/>
      <c r="GX23" s="68"/>
      <c r="GY23" s="68"/>
      <c r="GZ23" s="68"/>
      <c r="HA23" s="68"/>
      <c r="HB23" s="68"/>
      <c r="HC23" s="68"/>
      <c r="HD23" s="68"/>
      <c r="HE23" s="68"/>
      <c r="HF23" s="68"/>
      <c r="HG23" s="68"/>
      <c r="HH23" s="68"/>
      <c r="HI23" s="68"/>
      <c r="HJ23" s="68"/>
      <c r="HK23" s="68"/>
      <c r="HL23" s="68"/>
      <c r="HM23" s="68"/>
      <c r="HN23" s="68"/>
      <c r="HO23" s="68"/>
      <c r="HP23" s="68"/>
      <c r="HQ23" s="68"/>
      <c r="HR23" s="68"/>
      <c r="HS23" s="68"/>
      <c r="HT23" s="68"/>
      <c r="HU23" s="68"/>
      <c r="HV23" s="68"/>
      <c r="HW23" s="68"/>
      <c r="HX23" s="68"/>
      <c r="HY23" s="68"/>
      <c r="HZ23" s="68"/>
      <c r="IA23" s="68"/>
      <c r="IB23" s="68"/>
      <c r="IC23" s="68"/>
      <c r="ID23" s="68"/>
      <c r="IE23" s="68"/>
      <c r="IF23" s="68"/>
      <c r="IG23" s="68"/>
      <c r="IH23" s="68"/>
      <c r="II23" s="68"/>
      <c r="IJ23" s="68"/>
      <c r="IK23" s="68"/>
      <c r="IL23" s="68"/>
      <c r="IM23" s="68"/>
      <c r="IN23" s="68"/>
      <c r="IO23" s="68"/>
      <c r="IP23" s="68"/>
      <c r="IQ23" s="68"/>
      <c r="IR23" s="68"/>
      <c r="IS23" s="68"/>
      <c r="IT23" s="68"/>
      <c r="IU23" s="68"/>
    </row>
    <row r="24" spans="1:255" s="67" customFormat="1" ht="30" customHeight="1">
      <c r="A24" s="281" t="s">
        <v>358</v>
      </c>
      <c r="B24" s="855">
        <f>-D24+200</f>
        <v>-13616</v>
      </c>
      <c r="C24" s="861"/>
      <c r="D24" s="167">
        <v>13816</v>
      </c>
      <c r="E24" s="167"/>
      <c r="F24" s="167"/>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c r="GB24" s="68"/>
      <c r="GC24" s="68"/>
      <c r="GD24" s="68"/>
      <c r="GE24" s="68"/>
      <c r="GF24" s="68"/>
      <c r="GG24" s="68"/>
      <c r="GH24" s="68"/>
      <c r="GI24" s="68"/>
      <c r="GJ24" s="68"/>
      <c r="GK24" s="68"/>
      <c r="GL24" s="68"/>
      <c r="GM24" s="68"/>
      <c r="GN24" s="68"/>
      <c r="GO24" s="68"/>
      <c r="GP24" s="68"/>
      <c r="GQ24" s="68"/>
      <c r="GR24" s="68"/>
      <c r="GS24" s="68"/>
      <c r="GT24" s="68"/>
      <c r="GU24" s="68"/>
      <c r="GV24" s="68"/>
      <c r="GW24" s="68"/>
      <c r="GX24" s="68"/>
      <c r="GY24" s="68"/>
      <c r="GZ24" s="68"/>
      <c r="HA24" s="68"/>
      <c r="HB24" s="68"/>
      <c r="HC24" s="68"/>
      <c r="HD24" s="68"/>
      <c r="HE24" s="68"/>
      <c r="HF24" s="68"/>
      <c r="HG24" s="68"/>
      <c r="HH24" s="68"/>
      <c r="HI24" s="68"/>
      <c r="HJ24" s="68"/>
      <c r="HK24" s="68"/>
      <c r="HL24" s="68"/>
      <c r="HM24" s="68"/>
      <c r="HN24" s="68"/>
      <c r="HO24" s="68"/>
      <c r="HP24" s="68"/>
      <c r="HQ24" s="68"/>
      <c r="HR24" s="68"/>
      <c r="HS24" s="68"/>
      <c r="HT24" s="68"/>
      <c r="HU24" s="68"/>
      <c r="HV24" s="68"/>
      <c r="HW24" s="68"/>
      <c r="HX24" s="68"/>
      <c r="HY24" s="68"/>
      <c r="HZ24" s="68"/>
      <c r="IA24" s="68"/>
      <c r="IB24" s="68"/>
      <c r="IC24" s="68"/>
      <c r="ID24" s="68"/>
      <c r="IE24" s="68"/>
      <c r="IF24" s="68"/>
      <c r="IG24" s="68"/>
      <c r="IH24" s="68"/>
      <c r="II24" s="68"/>
      <c r="IJ24" s="68"/>
      <c r="IK24" s="68"/>
      <c r="IL24" s="68"/>
      <c r="IM24" s="68"/>
      <c r="IN24" s="68"/>
      <c r="IO24" s="68"/>
      <c r="IP24" s="68"/>
      <c r="IQ24" s="68"/>
      <c r="IR24" s="68"/>
      <c r="IS24" s="68"/>
      <c r="IT24" s="68"/>
      <c r="IU24" s="68"/>
    </row>
    <row r="25" spans="1:255" s="51" customFormat="1" ht="30" customHeight="1">
      <c r="A25" s="283" t="s">
        <v>748</v>
      </c>
      <c r="B25" s="682">
        <f>B20+B23</f>
        <v>-31899</v>
      </c>
      <c r="C25" s="856"/>
      <c r="D25" s="167"/>
      <c r="E25" s="167"/>
      <c r="F25" s="167"/>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c r="DI25" s="68"/>
      <c r="DJ25" s="68"/>
      <c r="DK25" s="68"/>
      <c r="DL25" s="68"/>
      <c r="DM25" s="68"/>
      <c r="DN25" s="68"/>
      <c r="DO25" s="68"/>
      <c r="DP25" s="68"/>
      <c r="DQ25" s="68"/>
      <c r="DR25" s="68"/>
      <c r="DS25" s="68"/>
      <c r="DT25" s="68"/>
      <c r="DU25" s="68"/>
      <c r="DV25" s="68"/>
      <c r="DW25" s="68"/>
      <c r="DX25" s="68"/>
      <c r="DY25" s="68"/>
      <c r="DZ25" s="68"/>
      <c r="EA25" s="68"/>
      <c r="EB25" s="68"/>
      <c r="EC25" s="68"/>
      <c r="ED25" s="68"/>
      <c r="EE25" s="68"/>
      <c r="EF25" s="68"/>
      <c r="EG25" s="68"/>
      <c r="EH25" s="68"/>
      <c r="EI25" s="68"/>
      <c r="EJ25" s="68"/>
      <c r="EK25" s="68"/>
      <c r="EL25" s="68"/>
      <c r="EM25" s="68"/>
      <c r="EN25" s="68"/>
      <c r="EO25" s="68"/>
      <c r="EP25" s="68"/>
      <c r="EQ25" s="68"/>
      <c r="ER25" s="68"/>
      <c r="ES25" s="68"/>
      <c r="ET25" s="68"/>
      <c r="EU25" s="68"/>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c r="FZ25" s="68"/>
      <c r="GA25" s="68"/>
      <c r="GB25" s="68"/>
      <c r="GC25" s="68"/>
      <c r="GD25" s="68"/>
      <c r="GE25" s="68"/>
      <c r="GF25" s="68"/>
      <c r="GG25" s="68"/>
      <c r="GH25" s="68"/>
      <c r="GI25" s="68"/>
      <c r="GJ25" s="68"/>
      <c r="GK25" s="68"/>
      <c r="GL25" s="68"/>
      <c r="GM25" s="68"/>
      <c r="GN25" s="68"/>
      <c r="GO25" s="68"/>
      <c r="GP25" s="68"/>
      <c r="GQ25" s="68"/>
      <c r="GR25" s="68"/>
      <c r="GS25" s="68"/>
      <c r="GT25" s="68"/>
      <c r="GU25" s="68"/>
      <c r="GV25" s="68"/>
      <c r="GW25" s="68"/>
      <c r="GX25" s="68"/>
      <c r="GY25" s="68"/>
      <c r="GZ25" s="68"/>
      <c r="HA25" s="68"/>
      <c r="HB25" s="68"/>
      <c r="HC25" s="68"/>
      <c r="HD25" s="68"/>
      <c r="HE25" s="68"/>
      <c r="HF25" s="68"/>
      <c r="HG25" s="68"/>
      <c r="HH25" s="68"/>
      <c r="HI25" s="68"/>
      <c r="HJ25" s="68"/>
      <c r="HK25" s="68"/>
      <c r="HL25" s="68"/>
      <c r="HM25" s="68"/>
      <c r="HN25" s="68"/>
      <c r="HO25" s="68"/>
      <c r="HP25" s="68"/>
      <c r="HQ25" s="68"/>
      <c r="HR25" s="68"/>
      <c r="HS25" s="68"/>
      <c r="HT25" s="68"/>
      <c r="HU25" s="68"/>
      <c r="HV25" s="68"/>
      <c r="HW25" s="68"/>
      <c r="HX25" s="68"/>
      <c r="HY25" s="68"/>
      <c r="HZ25" s="68"/>
      <c r="IA25" s="68"/>
      <c r="IB25" s="68"/>
      <c r="IC25" s="68"/>
      <c r="ID25" s="68"/>
      <c r="IE25" s="68"/>
      <c r="IF25" s="68"/>
      <c r="IG25" s="68"/>
      <c r="IH25" s="68"/>
      <c r="II25" s="68"/>
      <c r="IJ25" s="68"/>
      <c r="IK25" s="68"/>
      <c r="IL25" s="68"/>
      <c r="IM25" s="68"/>
      <c r="IN25" s="68"/>
      <c r="IO25" s="68"/>
      <c r="IP25" s="68"/>
      <c r="IQ25" s="68"/>
      <c r="IR25" s="68"/>
      <c r="IS25" s="68"/>
      <c r="IT25" s="68"/>
      <c r="IU25" s="68"/>
    </row>
    <row r="26" spans="1:255" s="51" customFormat="1" ht="30" customHeight="1">
      <c r="A26" s="283" t="s">
        <v>747</v>
      </c>
      <c r="B26" s="682"/>
      <c r="C26" s="856"/>
      <c r="D26" s="167"/>
      <c r="E26" s="167"/>
      <c r="F26" s="167"/>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c r="DI26" s="68"/>
      <c r="DJ26" s="68"/>
      <c r="DK26" s="68"/>
      <c r="DL26" s="68"/>
      <c r="DM26" s="68"/>
      <c r="DN26" s="68"/>
      <c r="DO26" s="68"/>
      <c r="DP26" s="68"/>
      <c r="DQ26" s="68"/>
      <c r="DR26" s="68"/>
      <c r="DS26" s="68"/>
      <c r="DT26" s="68"/>
      <c r="DU26" s="68"/>
      <c r="DV26" s="68"/>
      <c r="DW26" s="68"/>
      <c r="DX26" s="68"/>
      <c r="DY26" s="68"/>
      <c r="DZ26" s="68"/>
      <c r="EA26" s="68"/>
      <c r="EB26" s="68"/>
      <c r="EC26" s="68"/>
      <c r="ED26" s="68"/>
      <c r="EE26" s="68"/>
      <c r="EF26" s="68"/>
      <c r="EG26" s="68"/>
      <c r="EH26" s="68"/>
      <c r="EI26" s="68"/>
      <c r="EJ26" s="68"/>
      <c r="EK26" s="68"/>
      <c r="EL26" s="68"/>
      <c r="EM26" s="68"/>
      <c r="EN26" s="68"/>
      <c r="EO26" s="68"/>
      <c r="EP26" s="68"/>
      <c r="EQ26" s="68"/>
      <c r="ER26" s="68"/>
      <c r="ES26" s="68"/>
      <c r="ET26" s="68"/>
      <c r="EU26" s="68"/>
      <c r="EV26" s="68"/>
      <c r="EW26" s="68"/>
      <c r="EX26" s="68"/>
      <c r="EY26" s="68"/>
      <c r="EZ26" s="68"/>
      <c r="FA26" s="68"/>
      <c r="FB26" s="68"/>
      <c r="FC26" s="68"/>
      <c r="FD26" s="68"/>
      <c r="FE26" s="68"/>
      <c r="FF26" s="68"/>
      <c r="FG26" s="68"/>
      <c r="FH26" s="68"/>
      <c r="FI26" s="68"/>
      <c r="FJ26" s="68"/>
      <c r="FK26" s="68"/>
      <c r="FL26" s="68"/>
      <c r="FM26" s="68"/>
      <c r="FN26" s="68"/>
      <c r="FO26" s="68"/>
      <c r="FP26" s="68"/>
      <c r="FQ26" s="68"/>
      <c r="FR26" s="68"/>
      <c r="FS26" s="68"/>
      <c r="FT26" s="68"/>
      <c r="FU26" s="68"/>
      <c r="FV26" s="68"/>
      <c r="FW26" s="68"/>
      <c r="FX26" s="68"/>
      <c r="FY26" s="68"/>
      <c r="FZ26" s="68"/>
      <c r="GA26" s="68"/>
      <c r="GB26" s="68"/>
      <c r="GC26" s="68"/>
      <c r="GD26" s="68"/>
      <c r="GE26" s="68"/>
      <c r="GF26" s="68"/>
      <c r="GG26" s="68"/>
      <c r="GH26" s="68"/>
      <c r="GI26" s="68"/>
      <c r="GJ26" s="68"/>
      <c r="GK26" s="68"/>
      <c r="GL26" s="68"/>
      <c r="GM26" s="68"/>
      <c r="GN26" s="68"/>
      <c r="GO26" s="68"/>
      <c r="GP26" s="68"/>
      <c r="GQ26" s="68"/>
      <c r="GR26" s="68"/>
      <c r="GS26" s="68"/>
      <c r="GT26" s="68"/>
      <c r="GU26" s="68"/>
      <c r="GV26" s="68"/>
      <c r="GW26" s="68"/>
      <c r="GX26" s="68"/>
      <c r="GY26" s="68"/>
      <c r="GZ26" s="68"/>
      <c r="HA26" s="68"/>
      <c r="HB26" s="68"/>
      <c r="HC26" s="68"/>
      <c r="HD26" s="68"/>
      <c r="HE26" s="68"/>
      <c r="HF26" s="68"/>
      <c r="HG26" s="68"/>
      <c r="HH26" s="68"/>
      <c r="HI26" s="68"/>
      <c r="HJ26" s="68"/>
      <c r="HK26" s="68"/>
      <c r="HL26" s="68"/>
      <c r="HM26" s="68"/>
      <c r="HN26" s="68"/>
      <c r="HO26" s="68"/>
      <c r="HP26" s="68"/>
      <c r="HQ26" s="68"/>
      <c r="HR26" s="68"/>
      <c r="HS26" s="68"/>
      <c r="HT26" s="68"/>
      <c r="HU26" s="68"/>
      <c r="HV26" s="68"/>
      <c r="HW26" s="68"/>
      <c r="HX26" s="68"/>
      <c r="HY26" s="68"/>
      <c r="HZ26" s="68"/>
      <c r="IA26" s="68"/>
      <c r="IB26" s="68"/>
      <c r="IC26" s="68"/>
      <c r="ID26" s="68"/>
      <c r="IE26" s="68"/>
      <c r="IF26" s="68"/>
      <c r="IG26" s="68"/>
      <c r="IH26" s="68"/>
      <c r="II26" s="68"/>
      <c r="IJ26" s="68"/>
      <c r="IK26" s="68"/>
      <c r="IL26" s="68"/>
      <c r="IM26" s="68"/>
      <c r="IN26" s="68"/>
      <c r="IO26" s="68"/>
      <c r="IP26" s="68"/>
      <c r="IQ26" s="68"/>
      <c r="IR26" s="68"/>
      <c r="IS26" s="68"/>
      <c r="IT26" s="68"/>
      <c r="IU26" s="68"/>
    </row>
    <row r="27" spans="1:255" s="51" customFormat="1" ht="30" customHeight="1">
      <c r="A27" s="571" t="s">
        <v>886</v>
      </c>
      <c r="B27" s="682">
        <v>646</v>
      </c>
      <c r="C27" s="856" t="s">
        <v>1059</v>
      </c>
      <c r="D27" s="167"/>
      <c r="E27" s="167"/>
      <c r="F27" s="167"/>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c r="DT27" s="68"/>
      <c r="DU27" s="68"/>
      <c r="DV27" s="68"/>
      <c r="DW27" s="68"/>
      <c r="DX27" s="68"/>
      <c r="DY27" s="68"/>
      <c r="DZ27" s="68"/>
      <c r="EA27" s="68"/>
      <c r="EB27" s="68"/>
      <c r="EC27" s="68"/>
      <c r="ED27" s="68"/>
      <c r="EE27" s="68"/>
      <c r="EF27" s="68"/>
      <c r="EG27" s="68"/>
      <c r="EH27" s="68"/>
      <c r="EI27" s="68"/>
      <c r="EJ27" s="68"/>
      <c r="EK27" s="68"/>
      <c r="EL27" s="68"/>
      <c r="EM27" s="68"/>
      <c r="EN27" s="68"/>
      <c r="EO27" s="68"/>
      <c r="EP27" s="68"/>
      <c r="EQ27" s="68"/>
      <c r="ER27" s="68"/>
      <c r="ES27" s="68"/>
      <c r="ET27" s="68"/>
      <c r="EU27" s="68"/>
      <c r="EV27" s="68"/>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c r="FY27" s="68"/>
      <c r="FZ27" s="68"/>
      <c r="GA27" s="68"/>
      <c r="GB27" s="68"/>
      <c r="GC27" s="68"/>
      <c r="GD27" s="68"/>
      <c r="GE27" s="68"/>
      <c r="GF27" s="68"/>
      <c r="GG27" s="68"/>
      <c r="GH27" s="68"/>
      <c r="GI27" s="68"/>
      <c r="GJ27" s="68"/>
      <c r="GK27" s="68"/>
      <c r="GL27" s="68"/>
      <c r="GM27" s="68"/>
      <c r="GN27" s="68"/>
      <c r="GO27" s="68"/>
      <c r="GP27" s="68"/>
      <c r="GQ27" s="68"/>
      <c r="GR27" s="68"/>
      <c r="GS27" s="68"/>
      <c r="GT27" s="68"/>
      <c r="GU27" s="68"/>
      <c r="GV27" s="68"/>
      <c r="GW27" s="68"/>
      <c r="GX27" s="68"/>
      <c r="GY27" s="68"/>
      <c r="GZ27" s="68"/>
      <c r="HA27" s="68"/>
      <c r="HB27" s="68"/>
      <c r="HC27" s="68"/>
      <c r="HD27" s="68"/>
      <c r="HE27" s="68"/>
      <c r="HF27" s="68"/>
      <c r="HG27" s="68"/>
      <c r="HH27" s="68"/>
      <c r="HI27" s="68"/>
      <c r="HJ27" s="68"/>
      <c r="HK27" s="68"/>
      <c r="HL27" s="68"/>
      <c r="HM27" s="68"/>
      <c r="HN27" s="68"/>
      <c r="HO27" s="68"/>
      <c r="HP27" s="68"/>
      <c r="HQ27" s="68"/>
      <c r="HR27" s="68"/>
      <c r="HS27" s="68"/>
      <c r="HT27" s="68"/>
      <c r="HU27" s="68"/>
      <c r="HV27" s="68"/>
      <c r="HW27" s="68"/>
      <c r="HX27" s="68"/>
      <c r="HY27" s="68"/>
      <c r="HZ27" s="68"/>
      <c r="IA27" s="68"/>
      <c r="IB27" s="68"/>
      <c r="IC27" s="68"/>
      <c r="ID27" s="68"/>
      <c r="IE27" s="68"/>
      <c r="IF27" s="68"/>
      <c r="IG27" s="68"/>
      <c r="IH27" s="68"/>
      <c r="II27" s="68"/>
      <c r="IJ27" s="68"/>
      <c r="IK27" s="68"/>
      <c r="IL27" s="68"/>
      <c r="IM27" s="68"/>
      <c r="IN27" s="68"/>
      <c r="IO27" s="68"/>
      <c r="IP27" s="68"/>
      <c r="IQ27" s="68"/>
      <c r="IR27" s="68"/>
      <c r="IS27" s="68"/>
      <c r="IT27" s="68"/>
      <c r="IU27" s="68"/>
    </row>
    <row r="28" spans="1:255" s="51" customFormat="1" ht="24" customHeight="1">
      <c r="A28" s="571" t="s">
        <v>885</v>
      </c>
      <c r="B28" s="682"/>
      <c r="C28" s="856"/>
      <c r="D28" s="167"/>
      <c r="E28" s="167"/>
      <c r="F28" s="167"/>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EV28" s="68"/>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c r="FY28" s="68"/>
      <c r="FZ28" s="68"/>
      <c r="GA28" s="68"/>
      <c r="GB28" s="68"/>
      <c r="GC28" s="68"/>
      <c r="GD28" s="68"/>
      <c r="GE28" s="68"/>
      <c r="GF28" s="68"/>
      <c r="GG28" s="68"/>
      <c r="GH28" s="68"/>
      <c r="GI28" s="68"/>
      <c r="GJ28" s="68"/>
      <c r="GK28" s="68"/>
      <c r="GL28" s="68"/>
      <c r="GM28" s="68"/>
      <c r="GN28" s="68"/>
      <c r="GO28" s="68"/>
      <c r="GP28" s="68"/>
      <c r="GQ28" s="68"/>
      <c r="GR28" s="68"/>
      <c r="GS28" s="68"/>
      <c r="GT28" s="68"/>
      <c r="GU28" s="68"/>
      <c r="GV28" s="68"/>
      <c r="GW28" s="68"/>
      <c r="GX28" s="68"/>
      <c r="GY28" s="68"/>
      <c r="GZ28" s="68"/>
      <c r="HA28" s="68"/>
      <c r="HB28" s="68"/>
      <c r="HC28" s="68"/>
      <c r="HD28" s="68"/>
      <c r="HE28" s="68"/>
      <c r="HF28" s="68"/>
      <c r="HG28" s="68"/>
      <c r="HH28" s="68"/>
      <c r="HI28" s="68"/>
      <c r="HJ28" s="68"/>
      <c r="HK28" s="68"/>
      <c r="HL28" s="68"/>
      <c r="HM28" s="68"/>
      <c r="HN28" s="68"/>
      <c r="HO28" s="68"/>
      <c r="HP28" s="68"/>
      <c r="HQ28" s="68"/>
      <c r="HR28" s="68"/>
      <c r="HS28" s="68"/>
      <c r="HT28" s="68"/>
      <c r="HU28" s="68"/>
      <c r="HV28" s="68"/>
      <c r="HW28" s="68"/>
      <c r="HX28" s="68"/>
      <c r="HY28" s="68"/>
      <c r="HZ28" s="68"/>
      <c r="IA28" s="68"/>
      <c r="IB28" s="68"/>
      <c r="IC28" s="68"/>
      <c r="ID28" s="68"/>
      <c r="IE28" s="68"/>
      <c r="IF28" s="68"/>
      <c r="IG28" s="68"/>
      <c r="IH28" s="68"/>
      <c r="II28" s="68"/>
      <c r="IJ28" s="68"/>
      <c r="IK28" s="68"/>
      <c r="IL28" s="68"/>
      <c r="IM28" s="68"/>
      <c r="IN28" s="68"/>
      <c r="IO28" s="68"/>
      <c r="IP28" s="68"/>
      <c r="IQ28" s="68"/>
      <c r="IR28" s="68"/>
      <c r="IS28" s="68"/>
      <c r="IT28" s="68"/>
      <c r="IU28" s="68"/>
    </row>
    <row r="29" spans="1:255" s="51" customFormat="1" ht="30" customHeight="1">
      <c r="A29" s="571" t="s">
        <v>848</v>
      </c>
      <c r="B29" s="682">
        <v>-96</v>
      </c>
      <c r="C29" s="1034" t="s">
        <v>1090</v>
      </c>
      <c r="D29" s="167"/>
      <c r="E29" s="167"/>
      <c r="F29" s="167"/>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EV29" s="68"/>
      <c r="EW29" s="68"/>
      <c r="EX29" s="68"/>
      <c r="EY29" s="68"/>
      <c r="EZ29" s="68"/>
      <c r="FA29" s="68"/>
      <c r="FB29" s="68"/>
      <c r="FC29" s="68"/>
      <c r="FD29" s="68"/>
      <c r="FE29" s="68"/>
      <c r="FF29" s="68"/>
      <c r="FG29" s="68"/>
      <c r="FH29" s="68"/>
      <c r="FI29" s="68"/>
      <c r="FJ29" s="68"/>
      <c r="FK29" s="68"/>
      <c r="FL29" s="68"/>
      <c r="FM29" s="68"/>
      <c r="FN29" s="68"/>
      <c r="FO29" s="68"/>
      <c r="FP29" s="68"/>
      <c r="FQ29" s="68"/>
      <c r="FR29" s="68"/>
      <c r="FS29" s="68"/>
      <c r="FT29" s="68"/>
      <c r="FU29" s="68"/>
      <c r="FV29" s="68"/>
      <c r="FW29" s="68"/>
      <c r="FX29" s="68"/>
      <c r="FY29" s="68"/>
      <c r="FZ29" s="68"/>
      <c r="GA29" s="68"/>
      <c r="GB29" s="68"/>
      <c r="GC29" s="68"/>
      <c r="GD29" s="68"/>
      <c r="GE29" s="68"/>
      <c r="GF29" s="68"/>
      <c r="GG29" s="68"/>
      <c r="GH29" s="68"/>
      <c r="GI29" s="68"/>
      <c r="GJ29" s="68"/>
      <c r="GK29" s="68"/>
      <c r="GL29" s="68"/>
      <c r="GM29" s="68"/>
      <c r="GN29" s="68"/>
      <c r="GO29" s="68"/>
      <c r="GP29" s="68"/>
      <c r="GQ29" s="68"/>
      <c r="GR29" s="68"/>
      <c r="GS29" s="68"/>
      <c r="GT29" s="68"/>
      <c r="GU29" s="68"/>
      <c r="GV29" s="68"/>
      <c r="GW29" s="68"/>
      <c r="GX29" s="68"/>
      <c r="GY29" s="68"/>
      <c r="GZ29" s="68"/>
      <c r="HA29" s="68"/>
      <c r="HB29" s="68"/>
      <c r="HC29" s="68"/>
      <c r="HD29" s="68"/>
      <c r="HE29" s="68"/>
      <c r="HF29" s="68"/>
      <c r="HG29" s="68"/>
      <c r="HH29" s="68"/>
      <c r="HI29" s="68"/>
      <c r="HJ29" s="68"/>
      <c r="HK29" s="68"/>
      <c r="HL29" s="68"/>
      <c r="HM29" s="68"/>
      <c r="HN29" s="68"/>
      <c r="HO29" s="68"/>
      <c r="HP29" s="68"/>
      <c r="HQ29" s="68"/>
      <c r="HR29" s="68"/>
      <c r="HS29" s="68"/>
      <c r="HT29" s="68"/>
      <c r="HU29" s="68"/>
      <c r="HV29" s="68"/>
      <c r="HW29" s="68"/>
      <c r="HX29" s="68"/>
      <c r="HY29" s="68"/>
      <c r="HZ29" s="68"/>
      <c r="IA29" s="68"/>
      <c r="IB29" s="68"/>
      <c r="IC29" s="68"/>
      <c r="ID29" s="68"/>
      <c r="IE29" s="68"/>
      <c r="IF29" s="68"/>
      <c r="IG29" s="68"/>
      <c r="IH29" s="68"/>
      <c r="II29" s="68"/>
      <c r="IJ29" s="68"/>
      <c r="IK29" s="68"/>
      <c r="IL29" s="68"/>
      <c r="IM29" s="68"/>
      <c r="IN29" s="68"/>
      <c r="IO29" s="68"/>
      <c r="IP29" s="68"/>
      <c r="IQ29" s="68"/>
      <c r="IR29" s="68"/>
      <c r="IS29" s="68"/>
      <c r="IT29" s="68"/>
      <c r="IU29" s="68"/>
    </row>
    <row r="30" spans="1:255" s="51" customFormat="1" ht="21" customHeight="1">
      <c r="A30" s="571" t="s">
        <v>917</v>
      </c>
      <c r="B30" s="682"/>
      <c r="C30" s="1034"/>
      <c r="D30" s="167"/>
      <c r="E30" s="167"/>
      <c r="F30" s="167"/>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EV30" s="68"/>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c r="FY30" s="68"/>
      <c r="FZ30" s="68"/>
      <c r="GA30" s="68"/>
      <c r="GB30" s="68"/>
      <c r="GC30" s="68"/>
      <c r="GD30" s="68"/>
      <c r="GE30" s="68"/>
      <c r="GF30" s="68"/>
      <c r="GG30" s="68"/>
      <c r="GH30" s="68"/>
      <c r="GI30" s="68"/>
      <c r="GJ30" s="68"/>
      <c r="GK30" s="68"/>
      <c r="GL30" s="68"/>
      <c r="GM30" s="68"/>
      <c r="GN30" s="68"/>
      <c r="GO30" s="68"/>
      <c r="GP30" s="68"/>
      <c r="GQ30" s="68"/>
      <c r="GR30" s="68"/>
      <c r="GS30" s="68"/>
      <c r="GT30" s="68"/>
      <c r="GU30" s="68"/>
      <c r="GV30" s="68"/>
      <c r="GW30" s="68"/>
      <c r="GX30" s="68"/>
      <c r="GY30" s="68"/>
      <c r="GZ30" s="68"/>
      <c r="HA30" s="68"/>
      <c r="HB30" s="68"/>
      <c r="HC30" s="68"/>
      <c r="HD30" s="68"/>
      <c r="HE30" s="68"/>
      <c r="HF30" s="68"/>
      <c r="HG30" s="68"/>
      <c r="HH30" s="68"/>
      <c r="HI30" s="68"/>
      <c r="HJ30" s="68"/>
      <c r="HK30" s="68"/>
      <c r="HL30" s="68"/>
      <c r="HM30" s="68"/>
      <c r="HN30" s="68"/>
      <c r="HO30" s="68"/>
      <c r="HP30" s="68"/>
      <c r="HQ30" s="68"/>
      <c r="HR30" s="68"/>
      <c r="HS30" s="68"/>
      <c r="HT30" s="68"/>
      <c r="HU30" s="68"/>
      <c r="HV30" s="68"/>
      <c r="HW30" s="68"/>
      <c r="HX30" s="68"/>
      <c r="HY30" s="68"/>
      <c r="HZ30" s="68"/>
      <c r="IA30" s="68"/>
      <c r="IB30" s="68"/>
      <c r="IC30" s="68"/>
      <c r="ID30" s="68"/>
      <c r="IE30" s="68"/>
      <c r="IF30" s="68"/>
      <c r="IG30" s="68"/>
      <c r="IH30" s="68"/>
      <c r="II30" s="68"/>
      <c r="IJ30" s="68"/>
      <c r="IK30" s="68"/>
      <c r="IL30" s="68"/>
      <c r="IM30" s="68"/>
      <c r="IN30" s="68"/>
      <c r="IO30" s="68"/>
      <c r="IP30" s="68"/>
      <c r="IQ30" s="68"/>
      <c r="IR30" s="68"/>
      <c r="IS30" s="68"/>
      <c r="IT30" s="68"/>
      <c r="IU30" s="68"/>
    </row>
    <row r="31" spans="1:255" s="51" customFormat="1" ht="22.05" hidden="1" customHeight="1">
      <c r="A31" s="571" t="s">
        <v>916</v>
      </c>
      <c r="B31" s="682"/>
      <c r="C31" s="856"/>
      <c r="D31" s="167"/>
      <c r="E31" s="167"/>
      <c r="F31" s="167"/>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EV31" s="68"/>
      <c r="EW31" s="68"/>
      <c r="EX31" s="68"/>
      <c r="EY31" s="68"/>
      <c r="EZ31" s="68"/>
      <c r="FA31" s="68"/>
      <c r="FB31" s="68"/>
      <c r="FC31" s="68"/>
      <c r="FD31" s="68"/>
      <c r="FE31" s="68"/>
      <c r="FF31" s="68"/>
      <c r="FG31" s="68"/>
      <c r="FH31" s="68"/>
      <c r="FI31" s="68"/>
      <c r="FJ31" s="68"/>
      <c r="FK31" s="68"/>
      <c r="FL31" s="68"/>
      <c r="FM31" s="68"/>
      <c r="FN31" s="68"/>
      <c r="FO31" s="68"/>
      <c r="FP31" s="68"/>
      <c r="FQ31" s="68"/>
      <c r="FR31" s="68"/>
      <c r="FS31" s="68"/>
      <c r="FT31" s="68"/>
      <c r="FU31" s="68"/>
      <c r="FV31" s="68"/>
      <c r="FW31" s="68"/>
      <c r="FX31" s="68"/>
      <c r="FY31" s="68"/>
      <c r="FZ31" s="68"/>
      <c r="GA31" s="68"/>
      <c r="GB31" s="68"/>
      <c r="GC31" s="68"/>
      <c r="GD31" s="68"/>
      <c r="GE31" s="68"/>
      <c r="GF31" s="68"/>
      <c r="GG31" s="68"/>
      <c r="GH31" s="68"/>
      <c r="GI31" s="68"/>
      <c r="GJ31" s="68"/>
      <c r="GK31" s="68"/>
      <c r="GL31" s="68"/>
      <c r="GM31" s="68"/>
      <c r="GN31" s="68"/>
      <c r="GO31" s="68"/>
      <c r="GP31" s="68"/>
      <c r="GQ31" s="68"/>
      <c r="GR31" s="68"/>
      <c r="GS31" s="68"/>
      <c r="GT31" s="68"/>
      <c r="GU31" s="68"/>
      <c r="GV31" s="68"/>
      <c r="GW31" s="68"/>
      <c r="GX31" s="68"/>
      <c r="GY31" s="68"/>
      <c r="GZ31" s="68"/>
      <c r="HA31" s="68"/>
      <c r="HB31" s="68"/>
      <c r="HC31" s="68"/>
      <c r="HD31" s="68"/>
      <c r="HE31" s="68"/>
      <c r="HF31" s="68"/>
      <c r="HG31" s="68"/>
      <c r="HH31" s="68"/>
      <c r="HI31" s="68"/>
      <c r="HJ31" s="68"/>
      <c r="HK31" s="68"/>
      <c r="HL31" s="68"/>
      <c r="HM31" s="68"/>
      <c r="HN31" s="68"/>
      <c r="HO31" s="68"/>
      <c r="HP31" s="68"/>
      <c r="HQ31" s="68"/>
      <c r="HR31" s="68"/>
      <c r="HS31" s="68"/>
      <c r="HT31" s="68"/>
      <c r="HU31" s="68"/>
      <c r="HV31" s="68"/>
      <c r="HW31" s="68"/>
      <c r="HX31" s="68"/>
      <c r="HY31" s="68"/>
      <c r="HZ31" s="68"/>
      <c r="IA31" s="68"/>
      <c r="IB31" s="68"/>
      <c r="IC31" s="68"/>
      <c r="ID31" s="68"/>
      <c r="IE31" s="68"/>
      <c r="IF31" s="68"/>
      <c r="IG31" s="68"/>
      <c r="IH31" s="68"/>
      <c r="II31" s="68"/>
      <c r="IJ31" s="68"/>
      <c r="IK31" s="68"/>
      <c r="IL31" s="68"/>
      <c r="IM31" s="68"/>
      <c r="IN31" s="68"/>
      <c r="IO31" s="68"/>
      <c r="IP31" s="68"/>
      <c r="IQ31" s="68"/>
      <c r="IR31" s="68"/>
      <c r="IS31" s="68"/>
      <c r="IT31" s="68"/>
      <c r="IU31" s="68"/>
    </row>
    <row r="32" spans="1:255" s="51" customFormat="1" ht="30" customHeight="1">
      <c r="A32" s="572" t="s">
        <v>749</v>
      </c>
      <c r="B32" s="682">
        <f>SUM(B27:B31)</f>
        <v>550</v>
      </c>
      <c r="C32" s="856"/>
      <c r="D32" s="167"/>
      <c r="E32" s="167"/>
      <c r="F32" s="167"/>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EV32" s="68"/>
      <c r="EW32" s="68"/>
      <c r="EX32" s="68"/>
      <c r="EY32" s="68"/>
      <c r="EZ32" s="68"/>
      <c r="FA32" s="68"/>
      <c r="FB32" s="68"/>
      <c r="FC32" s="68"/>
      <c r="FD32" s="68"/>
      <c r="FE32" s="68"/>
      <c r="FF32" s="68"/>
      <c r="FG32" s="68"/>
      <c r="FH32" s="68"/>
      <c r="FI32" s="68"/>
      <c r="FJ32" s="68"/>
      <c r="FK32" s="68"/>
      <c r="FL32" s="68"/>
      <c r="FM32" s="68"/>
      <c r="FN32" s="68"/>
      <c r="FO32" s="68"/>
      <c r="FP32" s="68"/>
      <c r="FQ32" s="68"/>
      <c r="FR32" s="68"/>
      <c r="FS32" s="68"/>
      <c r="FT32" s="68"/>
      <c r="FU32" s="68"/>
      <c r="FV32" s="68"/>
      <c r="FW32" s="68"/>
      <c r="FX32" s="68"/>
      <c r="FY32" s="68"/>
      <c r="FZ32" s="68"/>
      <c r="GA32" s="68"/>
      <c r="GB32" s="68"/>
      <c r="GC32" s="68"/>
      <c r="GD32" s="68"/>
      <c r="GE32" s="68"/>
      <c r="GF32" s="68"/>
      <c r="GG32" s="68"/>
      <c r="GH32" s="68"/>
      <c r="GI32" s="68"/>
      <c r="GJ32" s="68"/>
      <c r="GK32" s="68"/>
      <c r="GL32" s="68"/>
      <c r="GM32" s="68"/>
      <c r="GN32" s="68"/>
      <c r="GO32" s="68"/>
      <c r="GP32" s="68"/>
      <c r="GQ32" s="68"/>
      <c r="GR32" s="68"/>
      <c r="GS32" s="68"/>
      <c r="GT32" s="68"/>
      <c r="GU32" s="68"/>
      <c r="GV32" s="68"/>
      <c r="GW32" s="68"/>
      <c r="GX32" s="68"/>
      <c r="GY32" s="68"/>
      <c r="GZ32" s="68"/>
      <c r="HA32" s="68"/>
      <c r="HB32" s="68"/>
      <c r="HC32" s="68"/>
      <c r="HD32" s="68"/>
      <c r="HE32" s="68"/>
      <c r="HF32" s="68"/>
      <c r="HG32" s="68"/>
      <c r="HH32" s="68"/>
      <c r="HI32" s="68"/>
      <c r="HJ32" s="68"/>
      <c r="HK32" s="68"/>
      <c r="HL32" s="68"/>
      <c r="HM32" s="68"/>
      <c r="HN32" s="68"/>
      <c r="HO32" s="68"/>
      <c r="HP32" s="68"/>
      <c r="HQ32" s="68"/>
      <c r="HR32" s="68"/>
      <c r="HS32" s="68"/>
      <c r="HT32" s="68"/>
      <c r="HU32" s="68"/>
      <c r="HV32" s="68"/>
      <c r="HW32" s="68"/>
      <c r="HX32" s="68"/>
      <c r="HY32" s="68"/>
      <c r="HZ32" s="68"/>
      <c r="IA32" s="68"/>
      <c r="IB32" s="68"/>
      <c r="IC32" s="68"/>
      <c r="ID32" s="68"/>
      <c r="IE32" s="68"/>
      <c r="IF32" s="68"/>
      <c r="IG32" s="68"/>
      <c r="IH32" s="68"/>
      <c r="II32" s="68"/>
      <c r="IJ32" s="68"/>
      <c r="IK32" s="68"/>
      <c r="IL32" s="68"/>
      <c r="IM32" s="68"/>
      <c r="IN32" s="68"/>
      <c r="IO32" s="68"/>
      <c r="IP32" s="68"/>
      <c r="IQ32" s="68"/>
      <c r="IR32" s="68"/>
      <c r="IS32" s="68"/>
      <c r="IT32" s="68"/>
      <c r="IU32" s="68"/>
    </row>
    <row r="33" spans="1:255" s="51" customFormat="1" ht="30" customHeight="1">
      <c r="A33" s="215" t="s">
        <v>359</v>
      </c>
      <c r="B33" s="276">
        <f>B18+B25+B32</f>
        <v>8770</v>
      </c>
      <c r="C33" s="277"/>
      <c r="D33" s="89"/>
      <c r="E33" s="160"/>
      <c r="F33" s="160"/>
    </row>
    <row r="34" spans="1:255" s="51" customFormat="1" ht="30" customHeight="1">
      <c r="A34" s="215" t="s">
        <v>360</v>
      </c>
      <c r="B34" s="855">
        <f>'39.預計平衡表'!D10</f>
        <v>432225</v>
      </c>
      <c r="C34" s="942" t="s">
        <v>915</v>
      </c>
      <c r="D34" s="89"/>
      <c r="E34" s="160"/>
      <c r="F34" s="160"/>
    </row>
    <row r="35" spans="1:255" s="51" customFormat="1" ht="30" customHeight="1">
      <c r="A35" s="215" t="s">
        <v>361</v>
      </c>
      <c r="B35" s="855">
        <f>SUM(B33:B34)</f>
        <v>440995</v>
      </c>
      <c r="C35" s="942"/>
      <c r="D35" s="89"/>
      <c r="E35" s="160"/>
      <c r="F35" s="160"/>
    </row>
    <row r="36" spans="1:255" s="51" customFormat="1" ht="30" hidden="1" customHeight="1">
      <c r="A36" s="196"/>
      <c r="B36" s="71"/>
      <c r="C36" s="214"/>
      <c r="D36" s="89"/>
      <c r="E36" s="160"/>
      <c r="F36" s="160"/>
    </row>
    <row r="37" spans="1:255" s="51" customFormat="1" ht="22.2" customHeight="1" thickBot="1">
      <c r="A37" s="217"/>
      <c r="B37" s="218"/>
      <c r="C37" s="197"/>
      <c r="D37" s="89"/>
      <c r="E37" s="160"/>
      <c r="F37" s="160"/>
    </row>
    <row r="38" spans="1:255" s="48" customFormat="1">
      <c r="A38" s="1026" t="s">
        <v>333</v>
      </c>
      <c r="B38" s="1027"/>
      <c r="C38" s="1027"/>
      <c r="D38" s="89"/>
      <c r="E38" s="160"/>
      <c r="F38" s="160"/>
    </row>
    <row r="39" spans="1:255" s="70" customFormat="1" ht="24.75" customHeight="1">
      <c r="A39" s="308"/>
      <c r="B39" s="308"/>
      <c r="C39" s="308"/>
      <c r="D39" s="89"/>
      <c r="E39" s="89"/>
      <c r="F39" s="89"/>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c r="BO39" s="67"/>
      <c r="BP39" s="67"/>
      <c r="BQ39" s="67"/>
      <c r="BR39" s="67"/>
      <c r="BS39" s="67"/>
      <c r="BT39" s="67"/>
      <c r="BU39" s="67"/>
      <c r="BV39" s="67"/>
      <c r="BW39" s="67"/>
      <c r="BX39" s="67"/>
      <c r="BY39" s="67"/>
      <c r="BZ39" s="67"/>
      <c r="CA39" s="67"/>
      <c r="CB39" s="67"/>
      <c r="CC39" s="67"/>
      <c r="CD39" s="67"/>
      <c r="CE39" s="67"/>
      <c r="CF39" s="67"/>
      <c r="CG39" s="67"/>
      <c r="CH39" s="67"/>
      <c r="CI39" s="67"/>
      <c r="CJ39" s="67"/>
      <c r="CK39" s="67"/>
      <c r="CL39" s="67"/>
      <c r="CM39" s="67"/>
      <c r="CN39" s="67"/>
      <c r="CO39" s="67"/>
      <c r="CP39" s="67"/>
      <c r="CQ39" s="67"/>
      <c r="CR39" s="67"/>
      <c r="CS39" s="67"/>
      <c r="CT39" s="67"/>
      <c r="CU39" s="67"/>
      <c r="CV39" s="67"/>
      <c r="CW39" s="67"/>
      <c r="CX39" s="67"/>
      <c r="CY39" s="67"/>
      <c r="CZ39" s="67"/>
      <c r="DA39" s="67"/>
      <c r="DB39" s="67"/>
      <c r="DC39" s="67"/>
      <c r="DD39" s="67"/>
      <c r="DE39" s="67"/>
      <c r="DF39" s="67"/>
      <c r="DG39" s="67"/>
      <c r="DH39" s="67"/>
      <c r="DI39" s="67"/>
      <c r="DJ39" s="67"/>
      <c r="DK39" s="67"/>
      <c r="DL39" s="67"/>
      <c r="DM39" s="67"/>
      <c r="DN39" s="67"/>
      <c r="DO39" s="67"/>
      <c r="DP39" s="67"/>
      <c r="DQ39" s="67"/>
      <c r="DR39" s="67"/>
      <c r="DS39" s="67"/>
      <c r="DT39" s="67"/>
      <c r="DU39" s="67"/>
      <c r="DV39" s="67"/>
      <c r="DW39" s="67"/>
      <c r="DX39" s="67"/>
      <c r="DY39" s="67"/>
      <c r="DZ39" s="67"/>
      <c r="EA39" s="67"/>
      <c r="EB39" s="67"/>
      <c r="EC39" s="67"/>
      <c r="ED39" s="67"/>
      <c r="EE39" s="67"/>
      <c r="EF39" s="67"/>
      <c r="EG39" s="67"/>
      <c r="EH39" s="67"/>
      <c r="EI39" s="67"/>
      <c r="EJ39" s="67"/>
      <c r="EK39" s="67"/>
      <c r="EL39" s="67"/>
      <c r="EM39" s="67"/>
      <c r="EN39" s="67"/>
      <c r="EO39" s="67"/>
      <c r="EP39" s="67"/>
      <c r="EQ39" s="67"/>
      <c r="ER39" s="67"/>
      <c r="ES39" s="67"/>
      <c r="ET39" s="67"/>
      <c r="EU39" s="67"/>
      <c r="EV39" s="67"/>
      <c r="EW39" s="67"/>
      <c r="EX39" s="67"/>
      <c r="EY39" s="67"/>
      <c r="EZ39" s="67"/>
      <c r="FA39" s="67"/>
      <c r="FB39" s="67"/>
      <c r="FC39" s="67"/>
      <c r="FD39" s="67"/>
      <c r="FE39" s="67"/>
      <c r="FF39" s="67"/>
      <c r="FG39" s="67"/>
      <c r="FH39" s="67"/>
      <c r="FI39" s="67"/>
      <c r="FJ39" s="67"/>
      <c r="FK39" s="67"/>
      <c r="FL39" s="67"/>
      <c r="FM39" s="67"/>
      <c r="FN39" s="67"/>
      <c r="FO39" s="67"/>
      <c r="FP39" s="67"/>
      <c r="FQ39" s="67"/>
      <c r="FR39" s="67"/>
      <c r="FS39" s="67"/>
      <c r="FT39" s="67"/>
      <c r="FU39" s="67"/>
      <c r="FV39" s="67"/>
      <c r="FW39" s="67"/>
      <c r="FX39" s="67"/>
      <c r="FY39" s="67"/>
      <c r="FZ39" s="67"/>
      <c r="GA39" s="67"/>
      <c r="GB39" s="67"/>
      <c r="GC39" s="67"/>
      <c r="GD39" s="67"/>
      <c r="GE39" s="67"/>
      <c r="GF39" s="67"/>
      <c r="GG39" s="67"/>
      <c r="GH39" s="67"/>
      <c r="GI39" s="67"/>
      <c r="GJ39" s="67"/>
      <c r="GK39" s="67"/>
      <c r="GL39" s="67"/>
      <c r="GM39" s="67"/>
      <c r="GN39" s="67"/>
      <c r="GO39" s="67"/>
      <c r="GP39" s="67"/>
      <c r="GQ39" s="67"/>
      <c r="GR39" s="67"/>
      <c r="GS39" s="67"/>
      <c r="GT39" s="67"/>
      <c r="GU39" s="67"/>
      <c r="GV39" s="67"/>
      <c r="GW39" s="67"/>
      <c r="GX39" s="67"/>
      <c r="GY39" s="67"/>
      <c r="GZ39" s="67"/>
      <c r="HA39" s="67"/>
      <c r="HB39" s="67"/>
      <c r="HC39" s="67"/>
      <c r="HD39" s="67"/>
      <c r="HE39" s="67"/>
      <c r="HF39" s="67"/>
      <c r="HG39" s="67"/>
      <c r="HH39" s="67"/>
      <c r="HI39" s="67"/>
      <c r="HJ39" s="67"/>
      <c r="HK39" s="67"/>
      <c r="HL39" s="67"/>
      <c r="HM39" s="67"/>
      <c r="HN39" s="67"/>
      <c r="HO39" s="67"/>
      <c r="HP39" s="67"/>
      <c r="HQ39" s="67"/>
      <c r="HR39" s="67"/>
      <c r="HS39" s="67"/>
      <c r="HT39" s="67"/>
      <c r="HU39" s="67"/>
      <c r="HV39" s="67"/>
      <c r="HW39" s="67"/>
      <c r="HX39" s="67"/>
      <c r="HY39" s="67"/>
      <c r="HZ39" s="67"/>
      <c r="IA39" s="67"/>
      <c r="IB39" s="67"/>
      <c r="IC39" s="67"/>
      <c r="ID39" s="67"/>
      <c r="IE39" s="67"/>
      <c r="IF39" s="67"/>
      <c r="IG39" s="67"/>
      <c r="IH39" s="67"/>
      <c r="II39" s="67"/>
      <c r="IJ39" s="67"/>
      <c r="IK39" s="67"/>
      <c r="IL39" s="67"/>
      <c r="IM39" s="67"/>
      <c r="IN39" s="67"/>
      <c r="IO39" s="67"/>
      <c r="IP39" s="67"/>
      <c r="IQ39" s="67"/>
      <c r="IR39" s="67"/>
      <c r="IS39" s="67"/>
      <c r="IT39" s="67"/>
      <c r="IU39" s="67"/>
    </row>
  </sheetData>
  <mergeCells count="9">
    <mergeCell ref="A1:C1"/>
    <mergeCell ref="A2:C2"/>
    <mergeCell ref="A3:C3"/>
    <mergeCell ref="A4:C4"/>
    <mergeCell ref="A38:C38"/>
    <mergeCell ref="A6:A7"/>
    <mergeCell ref="B6:B7"/>
    <mergeCell ref="C6:C7"/>
    <mergeCell ref="C29:C30"/>
  </mergeCells>
  <phoneticPr fontId="2" type="noConversion"/>
  <printOptions horizontalCentered="1"/>
  <pageMargins left="0.6692913385826772" right="0.6692913385826772" top="0.59055118110236227" bottom="0.78740157480314965" header="0.51181102362204722" footer="0.51181102362204722"/>
  <pageSetup paperSize="9" scale="95" firstPageNumber="18" orientation="portrait" blackAndWhite="1" useFirstPageNumber="1" r:id="rId1"/>
  <headerFooter scaleWithDoc="0" alignWithMargins="0">
    <oddFooter>&amp;C&amp;"Arial Unicode MS,標準"&amp;P</oddFooter>
  </headerFooter>
</worksheet>
</file>

<file path=xl/worksheets/sheet13.xml><?xml version="1.0" encoding="utf-8"?>
<worksheet xmlns="http://schemas.openxmlformats.org/spreadsheetml/2006/main" xmlns:r="http://schemas.openxmlformats.org/officeDocument/2006/relationships">
  <sheetPr codeName="Sheet14"/>
  <dimension ref="A16:I16"/>
  <sheetViews>
    <sheetView zoomScale="50" workbookViewId="0">
      <selection activeCell="D37" sqref="D37"/>
    </sheetView>
  </sheetViews>
  <sheetFormatPr defaultColWidth="9" defaultRowHeight="16.2"/>
  <cols>
    <col min="1" max="8" width="9" style="1"/>
    <col min="9" max="9" width="14.109375" style="1" customWidth="1"/>
    <col min="10" max="16384" width="9" style="1"/>
  </cols>
  <sheetData>
    <row r="16" spans="1:9" ht="49.8">
      <c r="A16" s="971" t="s">
        <v>315</v>
      </c>
      <c r="B16" s="971"/>
      <c r="C16" s="971"/>
      <c r="D16" s="971"/>
      <c r="E16" s="971"/>
      <c r="F16" s="971"/>
      <c r="G16" s="971"/>
      <c r="H16" s="971"/>
      <c r="I16" s="971"/>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5">
    <tabColor rgb="FFFFFFCC"/>
  </sheetPr>
  <dimension ref="A1:G29"/>
  <sheetViews>
    <sheetView topLeftCell="A7" zoomScaleNormal="100" workbookViewId="0">
      <selection activeCell="H18" sqref="H18"/>
    </sheetView>
  </sheetViews>
  <sheetFormatPr defaultColWidth="9" defaultRowHeight="16.2"/>
  <cols>
    <col min="1" max="1" width="7.6640625" style="57" customWidth="1"/>
    <col min="2" max="2" width="32.21875" style="57" customWidth="1"/>
    <col min="3" max="3" width="6" style="57" customWidth="1"/>
    <col min="4" max="4" width="13.109375" style="57" customWidth="1"/>
    <col min="5" max="5" width="11.21875" style="57" bestFit="1" customWidth="1"/>
    <col min="6" max="6" width="13.109375" style="57" customWidth="1"/>
    <col min="7" max="7" width="11" style="57" customWidth="1"/>
    <col min="8" max="8" width="9.6640625" style="57" customWidth="1"/>
    <col min="9" max="9" width="7.44140625" style="57" customWidth="1"/>
    <col min="10" max="16384" width="9" style="57"/>
  </cols>
  <sheetData>
    <row r="1" spans="1:7" ht="24.6">
      <c r="A1" s="1035" t="s">
        <v>152</v>
      </c>
      <c r="B1" s="1035"/>
      <c r="C1" s="1035"/>
      <c r="D1" s="1035"/>
      <c r="E1" s="1035"/>
      <c r="F1" s="1035"/>
      <c r="G1" s="1035"/>
    </row>
    <row r="2" spans="1:7" ht="22.2">
      <c r="A2" s="1036" t="s">
        <v>153</v>
      </c>
      <c r="B2" s="1036"/>
      <c r="C2" s="1036"/>
      <c r="D2" s="1036"/>
      <c r="E2" s="1036"/>
      <c r="F2" s="1036"/>
      <c r="G2" s="1036"/>
    </row>
    <row r="3" spans="1:7" ht="22.2">
      <c r="A3" s="1037" t="s">
        <v>475</v>
      </c>
      <c r="B3" s="1037"/>
      <c r="C3" s="1037"/>
      <c r="D3" s="1037"/>
      <c r="E3" s="1037"/>
      <c r="F3" s="1037"/>
      <c r="G3" s="1037"/>
    </row>
    <row r="4" spans="1:7" ht="19.8">
      <c r="A4" s="1038" t="s">
        <v>1047</v>
      </c>
      <c r="B4" s="1038"/>
      <c r="C4" s="1038"/>
      <c r="D4" s="1038"/>
      <c r="E4" s="1038"/>
      <c r="F4" s="1038"/>
      <c r="G4" s="1038"/>
    </row>
    <row r="5" spans="1:7" ht="16.8" thickBot="1">
      <c r="A5" s="284"/>
      <c r="B5" s="284"/>
      <c r="C5" s="284"/>
      <c r="D5" s="284"/>
      <c r="E5" s="284"/>
      <c r="F5" s="284"/>
      <c r="G5" s="285" t="s">
        <v>672</v>
      </c>
    </row>
    <row r="6" spans="1:7" s="55" customFormat="1" ht="21" customHeight="1">
      <c r="A6" s="1044" t="s">
        <v>286</v>
      </c>
      <c r="B6" s="1045"/>
      <c r="C6" s="1048" t="s">
        <v>169</v>
      </c>
      <c r="D6" s="1041" t="s">
        <v>334</v>
      </c>
      <c r="E6" s="1042"/>
      <c r="F6" s="1043"/>
      <c r="G6" s="1050" t="s">
        <v>401</v>
      </c>
    </row>
    <row r="7" spans="1:7" s="55" customFormat="1" ht="21" customHeight="1">
      <c r="A7" s="1046"/>
      <c r="B7" s="1047"/>
      <c r="C7" s="1049"/>
      <c r="D7" s="56" t="s">
        <v>335</v>
      </c>
      <c r="E7" s="286" t="s">
        <v>373</v>
      </c>
      <c r="F7" s="56" t="s">
        <v>336</v>
      </c>
      <c r="G7" s="1051"/>
    </row>
    <row r="8" spans="1:7" s="243" customFormat="1" ht="30" customHeight="1">
      <c r="A8" s="287" t="s">
        <v>366</v>
      </c>
      <c r="B8" s="113"/>
      <c r="C8" s="113" t="s">
        <v>919</v>
      </c>
      <c r="D8" s="862">
        <f>SUM(D10:D17)</f>
        <v>477411</v>
      </c>
      <c r="E8" s="862">
        <f>(F8/D8)*1000</f>
        <v>1297.048036178471</v>
      </c>
      <c r="F8" s="863">
        <f>SUM(F9)</f>
        <v>619225</v>
      </c>
      <c r="G8" s="242"/>
    </row>
    <row r="9" spans="1:7" s="245" customFormat="1" ht="30" customHeight="1">
      <c r="A9" s="250" t="s">
        <v>367</v>
      </c>
      <c r="B9" s="109"/>
      <c r="C9" s="109"/>
      <c r="D9" s="374"/>
      <c r="E9" s="374" t="s">
        <v>1126</v>
      </c>
      <c r="F9" s="374">
        <f>SUM(F10:F16)</f>
        <v>619225</v>
      </c>
      <c r="G9" s="219"/>
    </row>
    <row r="10" spans="1:7" s="245" customFormat="1" ht="30" customHeight="1">
      <c r="A10" s="250" t="s">
        <v>368</v>
      </c>
      <c r="B10" s="109"/>
      <c r="C10" s="113" t="s">
        <v>918</v>
      </c>
      <c r="D10" s="374">
        <v>102700</v>
      </c>
      <c r="E10" s="374"/>
      <c r="F10" s="374">
        <v>139320</v>
      </c>
      <c r="G10" s="221"/>
    </row>
    <row r="11" spans="1:7" s="245" customFormat="1" ht="30" customHeight="1">
      <c r="A11" s="250" t="s">
        <v>369</v>
      </c>
      <c r="B11" s="109"/>
      <c r="C11" s="113" t="s">
        <v>918</v>
      </c>
      <c r="D11" s="374">
        <v>30000</v>
      </c>
      <c r="E11" s="374"/>
      <c r="F11" s="374">
        <v>24000</v>
      </c>
      <c r="G11" s="222"/>
    </row>
    <row r="12" spans="1:7" s="245" customFormat="1" ht="30" customHeight="1">
      <c r="A12" s="250" t="s">
        <v>372</v>
      </c>
      <c r="B12" s="109"/>
      <c r="C12" s="113" t="s">
        <v>918</v>
      </c>
      <c r="D12" s="374">
        <v>8800</v>
      </c>
      <c r="E12" s="374"/>
      <c r="F12" s="374">
        <v>15424</v>
      </c>
      <c r="G12" s="221"/>
    </row>
    <row r="13" spans="1:7" s="245" customFormat="1" ht="30" customHeight="1">
      <c r="A13" s="250" t="s">
        <v>370</v>
      </c>
      <c r="B13" s="109"/>
      <c r="C13" s="113" t="s">
        <v>918</v>
      </c>
      <c r="D13" s="374">
        <v>159301</v>
      </c>
      <c r="E13" s="374"/>
      <c r="F13" s="374">
        <v>177790</v>
      </c>
      <c r="G13" s="222"/>
    </row>
    <row r="14" spans="1:7" s="245" customFormat="1" ht="30" customHeight="1">
      <c r="A14" s="241" t="s">
        <v>371</v>
      </c>
      <c r="B14" s="246"/>
      <c r="C14" s="113" t="s">
        <v>918</v>
      </c>
      <c r="D14" s="374">
        <v>174300</v>
      </c>
      <c r="E14" s="374"/>
      <c r="F14" s="374">
        <v>260306</v>
      </c>
      <c r="G14" s="222"/>
    </row>
    <row r="15" spans="1:7" s="245" customFormat="1" ht="30" customHeight="1">
      <c r="A15" s="251" t="s">
        <v>1062</v>
      </c>
      <c r="B15" s="124"/>
      <c r="C15" s="113" t="s">
        <v>918</v>
      </c>
      <c r="D15" s="374">
        <f>2200+60</f>
        <v>2260</v>
      </c>
      <c r="E15" s="374"/>
      <c r="F15" s="374">
        <f>2200+60</f>
        <v>2260</v>
      </c>
      <c r="G15" s="247"/>
    </row>
    <row r="16" spans="1:7" s="245" customFormat="1" ht="30" customHeight="1">
      <c r="A16" s="251" t="s">
        <v>1063</v>
      </c>
      <c r="B16" s="796"/>
      <c r="C16" s="113" t="s">
        <v>1034</v>
      </c>
      <c r="D16" s="374">
        <v>50</v>
      </c>
      <c r="E16" s="374"/>
      <c r="F16" s="374">
        <v>125</v>
      </c>
      <c r="G16" s="221"/>
    </row>
    <row r="17" spans="1:7" s="245" customFormat="1" ht="20.399999999999999" customHeight="1">
      <c r="A17" s="251" t="s">
        <v>1064</v>
      </c>
      <c r="B17" s="796"/>
      <c r="C17" s="109"/>
      <c r="D17" s="249"/>
      <c r="E17" s="248"/>
      <c r="F17" s="248"/>
      <c r="G17" s="221"/>
    </row>
    <row r="18" spans="1:7" ht="30" customHeight="1">
      <c r="A18" s="220"/>
      <c r="B18" s="58"/>
      <c r="C18" s="58"/>
      <c r="D18" s="110"/>
      <c r="E18" s="61"/>
      <c r="F18" s="61"/>
      <c r="G18" s="223"/>
    </row>
    <row r="19" spans="1:7" ht="30" customHeight="1">
      <c r="A19" s="220"/>
      <c r="B19" s="58"/>
      <c r="C19" s="58"/>
      <c r="D19" s="110"/>
      <c r="E19" s="61"/>
      <c r="F19" s="61"/>
      <c r="G19" s="223"/>
    </row>
    <row r="20" spans="1:7" ht="30" customHeight="1">
      <c r="A20" s="220"/>
      <c r="B20" s="58"/>
      <c r="C20" s="58"/>
      <c r="D20" s="110"/>
      <c r="E20" s="61"/>
      <c r="F20" s="61"/>
      <c r="G20" s="223"/>
    </row>
    <row r="21" spans="1:7" ht="30" customHeight="1">
      <c r="A21" s="220"/>
      <c r="B21" s="58"/>
      <c r="C21" s="58"/>
      <c r="D21" s="110"/>
      <c r="E21" s="61"/>
      <c r="F21" s="61"/>
      <c r="G21" s="223"/>
    </row>
    <row r="22" spans="1:7" ht="30" customHeight="1">
      <c r="A22" s="220"/>
      <c r="B22" s="58"/>
      <c r="C22" s="58"/>
      <c r="D22" s="110"/>
      <c r="E22" s="61"/>
      <c r="F22" s="61"/>
      <c r="G22" s="223"/>
    </row>
    <row r="23" spans="1:7" ht="30" customHeight="1">
      <c r="A23" s="224"/>
      <c r="B23" s="65"/>
      <c r="C23" s="59"/>
      <c r="D23" s="30"/>
      <c r="E23" s="31"/>
      <c r="F23" s="30"/>
      <c r="G23" s="221"/>
    </row>
    <row r="24" spans="1:7" ht="30" customHeight="1">
      <c r="A24" s="224" t="s">
        <v>170</v>
      </c>
      <c r="B24" s="65"/>
      <c r="C24" s="65"/>
      <c r="D24" s="60"/>
      <c r="E24" s="30"/>
      <c r="F24" s="30"/>
      <c r="G24" s="221"/>
    </row>
    <row r="25" spans="1:7" ht="30" customHeight="1">
      <c r="A25" s="225"/>
      <c r="B25" s="58"/>
      <c r="C25" s="58"/>
      <c r="D25" s="60"/>
      <c r="E25" s="30"/>
      <c r="F25" s="30"/>
      <c r="G25" s="221"/>
    </row>
    <row r="26" spans="1:7" ht="30" customHeight="1">
      <c r="A26" s="226"/>
      <c r="B26" s="62"/>
      <c r="C26" s="62"/>
      <c r="D26" s="30"/>
      <c r="E26" s="63"/>
      <c r="F26" s="30"/>
      <c r="G26" s="223"/>
    </row>
    <row r="27" spans="1:7" ht="30" customHeight="1">
      <c r="A27" s="226"/>
      <c r="B27" s="62"/>
      <c r="C27" s="62"/>
      <c r="D27" s="64"/>
      <c r="E27" s="63"/>
      <c r="F27" s="63"/>
      <c r="G27" s="227"/>
    </row>
    <row r="28" spans="1:7" s="104" customFormat="1" ht="30" customHeight="1">
      <c r="A28" s="1039"/>
      <c r="B28" s="1040"/>
      <c r="C28" s="111"/>
      <c r="D28" s="114"/>
      <c r="E28" s="112"/>
      <c r="F28" s="114"/>
      <c r="G28" s="228"/>
    </row>
    <row r="29" spans="1:7" ht="57" customHeight="1" thickBot="1">
      <c r="A29" s="229"/>
      <c r="B29" s="230"/>
      <c r="C29" s="230"/>
      <c r="D29" s="231"/>
      <c r="E29" s="231"/>
      <c r="F29" s="231"/>
      <c r="G29" s="232"/>
    </row>
  </sheetData>
  <mergeCells count="9">
    <mergeCell ref="A1:G1"/>
    <mergeCell ref="A2:G2"/>
    <mergeCell ref="A3:G3"/>
    <mergeCell ref="A4:G4"/>
    <mergeCell ref="A28:B28"/>
    <mergeCell ref="D6:F6"/>
    <mergeCell ref="A6:B7"/>
    <mergeCell ref="C6:C7"/>
    <mergeCell ref="G6:G7"/>
  </mergeCells>
  <phoneticPr fontId="2" type="noConversion"/>
  <printOptions horizontalCentered="1"/>
  <pageMargins left="0.6692913385826772" right="0.6692913385826772" top="0.59055118110236227" bottom="0.78740157480314965" header="0.51181102362204722" footer="0.51181102362204722"/>
  <pageSetup paperSize="9" scale="93" firstPageNumber="19" orientation="portrait" blackAndWhite="1" useFirstPageNumber="1" r:id="rId1"/>
  <headerFooter scaleWithDoc="0" alignWithMargins="0">
    <oddFooter>&amp;C&amp;"Arial Unicode MS,標準"&amp;P</oddFooter>
  </headerFooter>
</worksheet>
</file>

<file path=xl/worksheets/sheet15.xml><?xml version="1.0" encoding="utf-8"?>
<worksheet xmlns="http://schemas.openxmlformats.org/spreadsheetml/2006/main" xmlns:r="http://schemas.openxmlformats.org/officeDocument/2006/relationships">
  <sheetPr>
    <tabColor rgb="FFFFFFCC"/>
  </sheetPr>
  <dimension ref="A1:H42"/>
  <sheetViews>
    <sheetView zoomScaleNormal="100" workbookViewId="0">
      <selection activeCell="H18" sqref="H18"/>
    </sheetView>
  </sheetViews>
  <sheetFormatPr defaultColWidth="9" defaultRowHeight="16.2"/>
  <cols>
    <col min="1" max="1" width="10.6640625" style="34" customWidth="1"/>
    <col min="2" max="2" width="15.6640625" style="34" customWidth="1"/>
    <col min="3" max="3" width="20.6640625" style="34" customWidth="1"/>
    <col min="4" max="4" width="45.6640625" style="34" customWidth="1"/>
    <col min="5" max="5" width="9" style="34"/>
    <col min="6" max="6" width="12.33203125" style="34" bestFit="1" customWidth="1"/>
    <col min="7" max="16384" width="9" style="34"/>
  </cols>
  <sheetData>
    <row r="1" spans="1:8" ht="24.6">
      <c r="A1" s="1022" t="s">
        <v>152</v>
      </c>
      <c r="B1" s="1022"/>
      <c r="C1" s="1022"/>
      <c r="D1" s="1022"/>
      <c r="E1" s="36"/>
      <c r="F1" s="36"/>
      <c r="G1" s="36"/>
      <c r="H1" s="36"/>
    </row>
    <row r="2" spans="1:8" ht="22.2">
      <c r="A2" s="1023" t="s">
        <v>153</v>
      </c>
      <c r="B2" s="1023"/>
      <c r="C2" s="1023"/>
      <c r="D2" s="1023"/>
      <c r="E2" s="37"/>
      <c r="F2" s="37"/>
      <c r="G2" s="37"/>
      <c r="H2" s="37"/>
    </row>
    <row r="3" spans="1:8" ht="22.2">
      <c r="A3" s="1024" t="s">
        <v>897</v>
      </c>
      <c r="B3" s="1024"/>
      <c r="C3" s="1024"/>
      <c r="D3" s="1024"/>
      <c r="E3" s="702"/>
      <c r="F3" s="702"/>
      <c r="G3" s="702"/>
      <c r="H3" s="702"/>
    </row>
    <row r="4" spans="1:8" ht="19.8">
      <c r="A4" s="1025" t="s">
        <v>1048</v>
      </c>
      <c r="B4" s="1025"/>
      <c r="C4" s="1025"/>
      <c r="D4" s="1025"/>
      <c r="E4" s="39"/>
      <c r="F4" s="39"/>
      <c r="G4" s="39"/>
      <c r="H4" s="39"/>
    </row>
    <row r="5" spans="1:8" ht="16.8" thickBot="1">
      <c r="A5" s="36"/>
      <c r="B5" s="36"/>
      <c r="C5" s="36"/>
      <c r="D5" s="92" t="s">
        <v>672</v>
      </c>
      <c r="E5" s="36"/>
      <c r="F5" s="41"/>
    </row>
    <row r="6" spans="1:8" s="41" customFormat="1" ht="21" customHeight="1">
      <c r="A6" s="1053" t="s">
        <v>374</v>
      </c>
      <c r="B6" s="1054"/>
      <c r="C6" s="1057" t="s">
        <v>376</v>
      </c>
      <c r="D6" s="1059" t="s">
        <v>375</v>
      </c>
    </row>
    <row r="7" spans="1:8" s="41" customFormat="1" ht="21" customHeight="1">
      <c r="A7" s="1055"/>
      <c r="B7" s="1056"/>
      <c r="C7" s="1058"/>
      <c r="D7" s="1060"/>
    </row>
    <row r="8" spans="1:8" s="51" customFormat="1" ht="30" customHeight="1">
      <c r="A8" s="710" t="s">
        <v>898</v>
      </c>
      <c r="B8" s="253"/>
      <c r="C8" s="254">
        <f>SUM(C9)</f>
        <v>1099</v>
      </c>
      <c r="D8" s="255"/>
      <c r="F8" s="85"/>
    </row>
    <row r="9" spans="1:8" s="51" customFormat="1" ht="30" customHeight="1">
      <c r="A9" s="252" t="s">
        <v>899</v>
      </c>
      <c r="B9" s="253"/>
      <c r="C9" s="244">
        <v>1099</v>
      </c>
      <c r="D9" s="255" t="s">
        <v>943</v>
      </c>
      <c r="F9" s="85"/>
    </row>
    <row r="10" spans="1:8" s="51" customFormat="1" ht="30" customHeight="1">
      <c r="A10" s="711"/>
      <c r="B10" s="69"/>
      <c r="C10" s="35"/>
      <c r="D10" s="277" t="s">
        <v>1049</v>
      </c>
      <c r="E10" s="1052"/>
    </row>
    <row r="11" spans="1:8" s="51" customFormat="1" ht="30" customHeight="1">
      <c r="A11" s="233"/>
      <c r="B11" s="69"/>
      <c r="C11" s="35"/>
      <c r="D11" s="214"/>
      <c r="E11" s="1052"/>
    </row>
    <row r="12" spans="1:8" s="51" customFormat="1" ht="30" customHeight="1">
      <c r="A12" s="233"/>
      <c r="B12" s="69"/>
      <c r="C12" s="35"/>
      <c r="D12" s="239"/>
      <c r="E12" s="1052"/>
    </row>
    <row r="13" spans="1:8" s="51" customFormat="1" ht="30" customHeight="1">
      <c r="A13" s="233"/>
      <c r="B13" s="69"/>
      <c r="C13" s="35"/>
      <c r="D13" s="214"/>
      <c r="E13" s="1052"/>
    </row>
    <row r="14" spans="1:8" s="51" customFormat="1" ht="30" customHeight="1">
      <c r="A14" s="233"/>
      <c r="B14" s="69"/>
      <c r="C14" s="35"/>
      <c r="D14" s="214"/>
      <c r="E14" s="1052"/>
    </row>
    <row r="15" spans="1:8" s="51" customFormat="1" ht="30" customHeight="1">
      <c r="A15" s="200"/>
      <c r="B15" s="69"/>
      <c r="C15" s="35"/>
      <c r="D15" s="214"/>
      <c r="E15" s="1052"/>
    </row>
    <row r="16" spans="1:8" s="51" customFormat="1" ht="30" customHeight="1">
      <c r="A16" s="94"/>
      <c r="B16" s="69"/>
      <c r="C16" s="35"/>
      <c r="D16" s="216"/>
      <c r="E16" s="1052"/>
    </row>
    <row r="17" spans="1:5" s="51" customFormat="1" ht="30" customHeight="1">
      <c r="A17" s="233"/>
      <c r="B17" s="69"/>
      <c r="C17" s="35"/>
      <c r="D17" s="216"/>
      <c r="E17" s="1052"/>
    </row>
    <row r="18" spans="1:5" s="51" customFormat="1" ht="30" customHeight="1">
      <c r="A18" s="233"/>
      <c r="B18" s="69"/>
      <c r="C18" s="35"/>
      <c r="D18" s="214"/>
      <c r="E18" s="1052"/>
    </row>
    <row r="19" spans="1:5" s="51" customFormat="1" ht="30" customHeight="1">
      <c r="A19" s="233"/>
      <c r="B19" s="69"/>
      <c r="C19" s="35"/>
      <c r="D19" s="214"/>
    </row>
    <row r="20" spans="1:5" s="51" customFormat="1" ht="30" customHeight="1">
      <c r="A20" s="233"/>
      <c r="B20" s="69"/>
      <c r="C20" s="35"/>
      <c r="D20" s="214"/>
    </row>
    <row r="21" spans="1:5" s="51" customFormat="1" ht="30" customHeight="1">
      <c r="A21" s="233"/>
      <c r="B21" s="69"/>
      <c r="C21" s="35"/>
      <c r="D21" s="214"/>
    </row>
    <row r="22" spans="1:5" s="51" customFormat="1" ht="30" customHeight="1">
      <c r="A22" s="233"/>
      <c r="B22" s="69"/>
      <c r="C22" s="35"/>
      <c r="D22" s="214"/>
    </row>
    <row r="23" spans="1:5" s="51" customFormat="1" ht="30" customHeight="1">
      <c r="A23" s="233"/>
      <c r="B23" s="69"/>
      <c r="C23" s="35"/>
      <c r="D23" s="214"/>
    </row>
    <row r="24" spans="1:5" s="51" customFormat="1" ht="30" customHeight="1">
      <c r="A24" s="233"/>
      <c r="B24" s="69"/>
      <c r="C24" s="35"/>
      <c r="D24" s="214"/>
    </row>
    <row r="25" spans="1:5" s="51" customFormat="1" ht="30" customHeight="1">
      <c r="A25" s="233"/>
      <c r="B25" s="69"/>
      <c r="C25" s="35"/>
      <c r="D25" s="214"/>
    </row>
    <row r="26" spans="1:5" s="51" customFormat="1" ht="30" customHeight="1">
      <c r="A26" s="233"/>
      <c r="B26" s="69"/>
      <c r="C26" s="35"/>
      <c r="D26" s="214"/>
    </row>
    <row r="27" spans="1:5" s="51" customFormat="1" ht="30" customHeight="1">
      <c r="A27" s="233"/>
      <c r="B27" s="69"/>
      <c r="C27" s="35"/>
      <c r="D27" s="214"/>
    </row>
    <row r="28" spans="1:5" s="96" customFormat="1" ht="30" customHeight="1">
      <c r="A28" s="233"/>
      <c r="B28" s="66"/>
      <c r="C28" s="35"/>
      <c r="D28" s="234"/>
    </row>
    <row r="29" spans="1:5" ht="31.8" customHeight="1" thickBot="1">
      <c r="A29" s="235"/>
      <c r="B29" s="236"/>
      <c r="C29" s="237"/>
      <c r="D29" s="238"/>
    </row>
    <row r="30" spans="1:5">
      <c r="A30" s="73"/>
      <c r="B30" s="73"/>
      <c r="C30" s="73"/>
      <c r="D30" s="73"/>
    </row>
    <row r="31" spans="1:5">
      <c r="A31" s="73"/>
      <c r="B31" s="73"/>
      <c r="C31" s="73"/>
      <c r="D31" s="73"/>
    </row>
    <row r="32" spans="1:5">
      <c r="A32" s="73"/>
      <c r="B32" s="73"/>
      <c r="C32" s="73"/>
      <c r="D32" s="73"/>
    </row>
    <row r="33" spans="1:4">
      <c r="A33" s="73"/>
      <c r="B33" s="73"/>
      <c r="C33" s="73"/>
      <c r="D33" s="73"/>
    </row>
    <row r="34" spans="1:4">
      <c r="A34" s="73"/>
      <c r="B34" s="73"/>
      <c r="C34" s="73"/>
      <c r="D34" s="73"/>
    </row>
    <row r="35" spans="1:4">
      <c r="A35" s="73"/>
      <c r="B35" s="73"/>
      <c r="C35" s="73"/>
      <c r="D35" s="73"/>
    </row>
    <row r="36" spans="1:4">
      <c r="A36" s="73"/>
      <c r="B36" s="73"/>
      <c r="C36" s="73"/>
      <c r="D36" s="73"/>
    </row>
    <row r="37" spans="1:4">
      <c r="A37" s="73"/>
      <c r="B37" s="73"/>
      <c r="C37" s="73"/>
      <c r="D37" s="73"/>
    </row>
    <row r="38" spans="1:4">
      <c r="A38" s="73"/>
      <c r="B38" s="73"/>
      <c r="C38" s="73"/>
      <c r="D38" s="73"/>
    </row>
    <row r="39" spans="1:4">
      <c r="A39" s="73"/>
      <c r="B39" s="73"/>
      <c r="C39" s="73"/>
      <c r="D39" s="73"/>
    </row>
    <row r="40" spans="1:4">
      <c r="A40" s="73"/>
      <c r="B40" s="73"/>
      <c r="C40" s="73"/>
      <c r="D40" s="73"/>
    </row>
    <row r="41" spans="1:4">
      <c r="A41" s="73"/>
      <c r="B41" s="73"/>
      <c r="C41" s="73"/>
      <c r="D41" s="73"/>
    </row>
    <row r="42" spans="1:4">
      <c r="A42" s="73"/>
      <c r="B42" s="73"/>
      <c r="C42" s="73"/>
      <c r="D42" s="73"/>
    </row>
  </sheetData>
  <mergeCells count="8">
    <mergeCell ref="E10:E18"/>
    <mergeCell ref="A1:D1"/>
    <mergeCell ref="A2:D2"/>
    <mergeCell ref="A3:D3"/>
    <mergeCell ref="A4:D4"/>
    <mergeCell ref="A6:B7"/>
    <mergeCell ref="C6:C7"/>
    <mergeCell ref="D6:D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20" orientation="portrait" useFirstPageNumber="1" r:id="rId1"/>
  <headerFooter scaleWithDoc="0" alignWithMargins="0">
    <oddFooter>&amp;C&amp;"Arial Unicode MS,標準"&amp;P</oddFooter>
  </headerFooter>
</worksheet>
</file>

<file path=xl/worksheets/sheet16.xml><?xml version="1.0" encoding="utf-8"?>
<worksheet xmlns="http://schemas.openxmlformats.org/spreadsheetml/2006/main" xmlns:r="http://schemas.openxmlformats.org/officeDocument/2006/relationships">
  <sheetPr codeName="Sheet16">
    <tabColor rgb="FFFFFFCC"/>
  </sheetPr>
  <dimension ref="A1:H42"/>
  <sheetViews>
    <sheetView topLeftCell="A4" zoomScaleNormal="100" workbookViewId="0">
      <selection activeCell="H18" sqref="H18"/>
    </sheetView>
  </sheetViews>
  <sheetFormatPr defaultColWidth="9" defaultRowHeight="16.2"/>
  <cols>
    <col min="1" max="1" width="10.6640625" style="34" customWidth="1"/>
    <col min="2" max="2" width="15.6640625" style="34" customWidth="1"/>
    <col min="3" max="3" width="20.6640625" style="34" customWidth="1"/>
    <col min="4" max="4" width="45.6640625" style="34" customWidth="1"/>
    <col min="5" max="5" width="9" style="34"/>
    <col min="6" max="6" width="12.33203125" style="34" bestFit="1" customWidth="1"/>
    <col min="7" max="16384" width="9" style="34"/>
  </cols>
  <sheetData>
    <row r="1" spans="1:8" ht="24.6">
      <c r="A1" s="1022" t="s">
        <v>152</v>
      </c>
      <c r="B1" s="1022"/>
      <c r="C1" s="1022"/>
      <c r="D1" s="1022"/>
      <c r="E1" s="36"/>
      <c r="F1" s="36"/>
      <c r="G1" s="36"/>
      <c r="H1" s="36"/>
    </row>
    <row r="2" spans="1:8" ht="22.2">
      <c r="A2" s="1023" t="s">
        <v>153</v>
      </c>
      <c r="B2" s="1023"/>
      <c r="C2" s="1023"/>
      <c r="D2" s="1023"/>
      <c r="E2" s="37"/>
      <c r="F2" s="37"/>
      <c r="G2" s="37"/>
      <c r="H2" s="37"/>
    </row>
    <row r="3" spans="1:8" ht="22.2">
      <c r="A3" s="1024" t="s">
        <v>129</v>
      </c>
      <c r="B3" s="1024"/>
      <c r="C3" s="1024"/>
      <c r="D3" s="1024"/>
      <c r="E3" s="38"/>
      <c r="F3" s="38"/>
      <c r="G3" s="38"/>
      <c r="H3" s="38"/>
    </row>
    <row r="4" spans="1:8" ht="19.8">
      <c r="A4" s="1025" t="s">
        <v>1047</v>
      </c>
      <c r="B4" s="1025"/>
      <c r="C4" s="1025"/>
      <c r="D4" s="1025"/>
      <c r="E4" s="39"/>
      <c r="F4" s="39"/>
      <c r="G4" s="39"/>
      <c r="H4" s="39"/>
    </row>
    <row r="5" spans="1:8" ht="16.8" thickBot="1">
      <c r="A5" s="36"/>
      <c r="B5" s="36"/>
      <c r="C5" s="36"/>
      <c r="D5" s="92" t="s">
        <v>673</v>
      </c>
      <c r="E5" s="36"/>
      <c r="F5" s="41"/>
    </row>
    <row r="6" spans="1:8" s="41" customFormat="1" ht="21" customHeight="1">
      <c r="A6" s="1053" t="s">
        <v>374</v>
      </c>
      <c r="B6" s="1054"/>
      <c r="C6" s="1057" t="s">
        <v>376</v>
      </c>
      <c r="D6" s="1059" t="s">
        <v>375</v>
      </c>
    </row>
    <row r="7" spans="1:8" s="41" customFormat="1" ht="21" customHeight="1">
      <c r="A7" s="1055"/>
      <c r="B7" s="1056"/>
      <c r="C7" s="1058"/>
      <c r="D7" s="1060"/>
    </row>
    <row r="8" spans="1:8" s="51" customFormat="1" ht="30" customHeight="1">
      <c r="A8" s="288" t="s">
        <v>337</v>
      </c>
      <c r="B8" s="253"/>
      <c r="C8" s="254">
        <f>SUM(C9)</f>
        <v>1800</v>
      </c>
      <c r="D8" s="255"/>
      <c r="F8" s="85"/>
    </row>
    <row r="9" spans="1:8" s="51" customFormat="1" ht="30" customHeight="1">
      <c r="A9" s="252" t="s">
        <v>377</v>
      </c>
      <c r="B9" s="253"/>
      <c r="C9" s="244">
        <v>1800</v>
      </c>
      <c r="D9" s="255" t="s">
        <v>1094</v>
      </c>
      <c r="F9" s="85"/>
    </row>
    <row r="10" spans="1:8" s="51" customFormat="1" ht="30" customHeight="1">
      <c r="A10" s="233"/>
      <c r="B10" s="69"/>
      <c r="C10" s="35"/>
      <c r="D10" s="216"/>
      <c r="E10" s="1052"/>
    </row>
    <row r="11" spans="1:8" s="51" customFormat="1" ht="30" customHeight="1">
      <c r="A11" s="233"/>
      <c r="B11" s="69"/>
      <c r="C11" s="35"/>
      <c r="D11" s="214"/>
      <c r="E11" s="1052"/>
    </row>
    <row r="12" spans="1:8" s="51" customFormat="1" ht="30" customHeight="1">
      <c r="A12" s="233"/>
      <c r="B12" s="69"/>
      <c r="C12" s="35"/>
      <c r="D12" s="239"/>
      <c r="E12" s="1052"/>
    </row>
    <row r="13" spans="1:8" s="51" customFormat="1" ht="30" customHeight="1">
      <c r="A13" s="233"/>
      <c r="B13" s="69"/>
      <c r="C13" s="35"/>
      <c r="D13" s="214"/>
      <c r="E13" s="1052"/>
    </row>
    <row r="14" spans="1:8" s="51" customFormat="1" ht="30" customHeight="1">
      <c r="A14" s="233"/>
      <c r="B14" s="69"/>
      <c r="C14" s="35"/>
      <c r="D14" s="214"/>
      <c r="E14" s="1052"/>
    </row>
    <row r="15" spans="1:8" s="51" customFormat="1" ht="30" customHeight="1">
      <c r="A15" s="200"/>
      <c r="B15" s="69"/>
      <c r="C15" s="35"/>
      <c r="D15" s="214"/>
      <c r="E15" s="1052"/>
    </row>
    <row r="16" spans="1:8" s="51" customFormat="1" ht="30" customHeight="1">
      <c r="A16" s="94"/>
      <c r="B16" s="69"/>
      <c r="C16" s="35"/>
      <c r="D16" s="216"/>
      <c r="E16" s="1052"/>
    </row>
    <row r="17" spans="1:5" s="51" customFormat="1" ht="30" customHeight="1">
      <c r="A17" s="233"/>
      <c r="B17" s="69"/>
      <c r="C17" s="35"/>
      <c r="D17" s="216"/>
      <c r="E17" s="1052"/>
    </row>
    <row r="18" spans="1:5" s="51" customFormat="1" ht="30" customHeight="1">
      <c r="A18" s="233"/>
      <c r="B18" s="69"/>
      <c r="C18" s="35"/>
      <c r="D18" s="214"/>
      <c r="E18" s="1052"/>
    </row>
    <row r="19" spans="1:5" s="51" customFormat="1" ht="30" customHeight="1">
      <c r="A19" s="233"/>
      <c r="B19" s="69"/>
      <c r="C19" s="35"/>
      <c r="D19" s="214"/>
    </row>
    <row r="20" spans="1:5" s="51" customFormat="1" ht="30" customHeight="1">
      <c r="A20" s="233"/>
      <c r="B20" s="69"/>
      <c r="C20" s="35"/>
      <c r="D20" s="214"/>
    </row>
    <row r="21" spans="1:5" s="51" customFormat="1" ht="30" customHeight="1">
      <c r="A21" s="233"/>
      <c r="B21" s="69"/>
      <c r="C21" s="35"/>
      <c r="D21" s="214"/>
    </row>
    <row r="22" spans="1:5" s="51" customFormat="1" ht="30" customHeight="1">
      <c r="A22" s="233"/>
      <c r="B22" s="69"/>
      <c r="C22" s="35"/>
      <c r="D22" s="214"/>
    </row>
    <row r="23" spans="1:5" s="51" customFormat="1" ht="30" customHeight="1">
      <c r="A23" s="233"/>
      <c r="B23" s="69"/>
      <c r="C23" s="35"/>
      <c r="D23" s="214"/>
    </row>
    <row r="24" spans="1:5" s="51" customFormat="1" ht="30" customHeight="1">
      <c r="A24" s="233"/>
      <c r="B24" s="69"/>
      <c r="C24" s="35"/>
      <c r="D24" s="214"/>
    </row>
    <row r="25" spans="1:5" s="51" customFormat="1" ht="30" customHeight="1">
      <c r="A25" s="233"/>
      <c r="B25" s="69"/>
      <c r="C25" s="35"/>
      <c r="D25" s="214"/>
    </row>
    <row r="26" spans="1:5" s="51" customFormat="1" ht="30" customHeight="1">
      <c r="A26" s="233"/>
      <c r="B26" s="69"/>
      <c r="C26" s="35"/>
      <c r="D26" s="214"/>
    </row>
    <row r="27" spans="1:5" s="51" customFormat="1" ht="30" customHeight="1">
      <c r="A27" s="233"/>
      <c r="B27" s="69"/>
      <c r="C27" s="35"/>
      <c r="D27" s="214"/>
    </row>
    <row r="28" spans="1:5" s="96" customFormat="1" ht="30" customHeight="1">
      <c r="A28" s="233"/>
      <c r="B28" s="66"/>
      <c r="C28" s="35"/>
      <c r="D28" s="234"/>
    </row>
    <row r="29" spans="1:5" ht="33.6" customHeight="1" thickBot="1">
      <c r="A29" s="235"/>
      <c r="B29" s="236"/>
      <c r="C29" s="237"/>
      <c r="D29" s="238"/>
    </row>
    <row r="30" spans="1:5">
      <c r="A30" s="73"/>
      <c r="B30" s="73"/>
      <c r="C30" s="73"/>
      <c r="D30" s="73"/>
    </row>
    <row r="31" spans="1:5">
      <c r="A31" s="73"/>
      <c r="B31" s="73"/>
      <c r="C31" s="73"/>
      <c r="D31" s="73"/>
    </row>
    <row r="32" spans="1:5">
      <c r="A32" s="73"/>
      <c r="B32" s="73"/>
      <c r="C32" s="73"/>
      <c r="D32" s="73"/>
    </row>
    <row r="33" spans="1:4">
      <c r="A33" s="73"/>
      <c r="B33" s="73"/>
      <c r="C33" s="73"/>
      <c r="D33" s="73"/>
    </row>
    <row r="34" spans="1:4">
      <c r="A34" s="73"/>
      <c r="B34" s="73"/>
      <c r="C34" s="73"/>
      <c r="D34" s="73"/>
    </row>
    <row r="35" spans="1:4">
      <c r="A35" s="73"/>
      <c r="B35" s="73"/>
      <c r="C35" s="73"/>
      <c r="D35" s="73"/>
    </row>
    <row r="36" spans="1:4">
      <c r="A36" s="73"/>
      <c r="B36" s="73"/>
      <c r="C36" s="73"/>
      <c r="D36" s="73"/>
    </row>
    <row r="37" spans="1:4">
      <c r="A37" s="73"/>
      <c r="B37" s="73"/>
      <c r="C37" s="73"/>
      <c r="D37" s="73"/>
    </row>
    <row r="38" spans="1:4">
      <c r="A38" s="73"/>
      <c r="B38" s="73"/>
      <c r="C38" s="73"/>
      <c r="D38" s="73"/>
    </row>
    <row r="39" spans="1:4">
      <c r="A39" s="73"/>
      <c r="B39" s="73"/>
      <c r="C39" s="73"/>
      <c r="D39" s="73"/>
    </row>
    <row r="40" spans="1:4">
      <c r="A40" s="73"/>
      <c r="B40" s="73"/>
      <c r="C40" s="73"/>
      <c r="D40" s="73"/>
    </row>
    <row r="41" spans="1:4">
      <c r="A41" s="73"/>
      <c r="B41" s="73"/>
      <c r="C41" s="73"/>
      <c r="D41" s="73"/>
    </row>
    <row r="42" spans="1:4">
      <c r="A42" s="73"/>
      <c r="B42" s="73"/>
      <c r="C42" s="73"/>
      <c r="D42" s="73"/>
    </row>
  </sheetData>
  <mergeCells count="8">
    <mergeCell ref="E10:E18"/>
    <mergeCell ref="A6:B7"/>
    <mergeCell ref="C6:C7"/>
    <mergeCell ref="D6:D7"/>
    <mergeCell ref="A1:D1"/>
    <mergeCell ref="A2:D2"/>
    <mergeCell ref="A3:D3"/>
    <mergeCell ref="A4:D4"/>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1" orientation="portrait" useFirstPageNumber="1" r:id="rId1"/>
  <headerFooter scaleWithDoc="0" alignWithMargins="0">
    <oddFooter>&amp;C&amp;"Arial Unicode MS,標準"&amp;P</oddFooter>
  </headerFooter>
</worksheet>
</file>

<file path=xl/worksheets/sheet17.xml><?xml version="1.0" encoding="utf-8"?>
<worksheet xmlns="http://schemas.openxmlformats.org/spreadsheetml/2006/main" xmlns:r="http://schemas.openxmlformats.org/officeDocument/2006/relationships">
  <sheetPr>
    <tabColor rgb="FFFFFFCC"/>
  </sheetPr>
  <dimension ref="A1:H41"/>
  <sheetViews>
    <sheetView topLeftCell="A19" zoomScaleNormal="100" workbookViewId="0">
      <selection activeCell="H18" sqref="H18"/>
    </sheetView>
  </sheetViews>
  <sheetFormatPr defaultColWidth="9" defaultRowHeight="16.2"/>
  <cols>
    <col min="1" max="1" width="10.6640625" style="34" customWidth="1"/>
    <col min="2" max="2" width="15.6640625" style="34" customWidth="1"/>
    <col min="3" max="3" width="20.6640625" style="34" customWidth="1"/>
    <col min="4" max="4" width="45.6640625" style="34" customWidth="1"/>
    <col min="5" max="5" width="9" style="34"/>
    <col min="6" max="6" width="12.33203125" style="34" bestFit="1" customWidth="1"/>
    <col min="7" max="16384" width="9" style="34"/>
  </cols>
  <sheetData>
    <row r="1" spans="1:8" ht="24.6">
      <c r="A1" s="1022" t="s">
        <v>152</v>
      </c>
      <c r="B1" s="1022"/>
      <c r="C1" s="1022"/>
      <c r="D1" s="1022"/>
      <c r="E1" s="36"/>
      <c r="F1" s="36"/>
      <c r="G1" s="36"/>
      <c r="H1" s="36"/>
    </row>
    <row r="2" spans="1:8" ht="22.2">
      <c r="A2" s="1023" t="s">
        <v>153</v>
      </c>
      <c r="B2" s="1023"/>
      <c r="C2" s="1023"/>
      <c r="D2" s="1023"/>
      <c r="E2" s="37"/>
      <c r="F2" s="37"/>
      <c r="G2" s="37"/>
      <c r="H2" s="37"/>
    </row>
    <row r="3" spans="1:8" ht="22.2">
      <c r="A3" s="1024" t="s">
        <v>864</v>
      </c>
      <c r="B3" s="1024"/>
      <c r="C3" s="1024"/>
      <c r="D3" s="1024"/>
      <c r="E3" s="693"/>
      <c r="F3" s="693"/>
      <c r="G3" s="693"/>
      <c r="H3" s="693"/>
    </row>
    <row r="4" spans="1:8" ht="19.8">
      <c r="A4" s="1025" t="s">
        <v>1047</v>
      </c>
      <c r="B4" s="1025"/>
      <c r="C4" s="1025"/>
      <c r="D4" s="1025"/>
      <c r="E4" s="39"/>
      <c r="F4" s="39"/>
      <c r="G4" s="39"/>
      <c r="H4" s="39"/>
    </row>
    <row r="5" spans="1:8" ht="16.8" thickBot="1">
      <c r="A5" s="36"/>
      <c r="B5" s="36"/>
      <c r="C5" s="36"/>
      <c r="D5" s="92" t="s">
        <v>672</v>
      </c>
      <c r="E5" s="36"/>
      <c r="F5" s="41"/>
    </row>
    <row r="6" spans="1:8" s="41" customFormat="1" ht="21" customHeight="1">
      <c r="A6" s="1053" t="s">
        <v>374</v>
      </c>
      <c r="B6" s="1054"/>
      <c r="C6" s="1057" t="s">
        <v>376</v>
      </c>
      <c r="D6" s="1059" t="s">
        <v>375</v>
      </c>
    </row>
    <row r="7" spans="1:8" s="41" customFormat="1" ht="21" customHeight="1">
      <c r="A7" s="1055"/>
      <c r="B7" s="1056"/>
      <c r="C7" s="1058"/>
      <c r="D7" s="1060"/>
    </row>
    <row r="8" spans="1:8" s="51" customFormat="1" ht="30" customHeight="1">
      <c r="A8" s="288" t="s">
        <v>863</v>
      </c>
      <c r="B8" s="253"/>
      <c r="C8" s="254">
        <f>SUM(C9)</f>
        <v>2000</v>
      </c>
      <c r="D8" s="255"/>
      <c r="F8" s="85"/>
    </row>
    <row r="9" spans="1:8" s="51" customFormat="1" ht="38.25" customHeight="1">
      <c r="A9" s="252" t="s">
        <v>865</v>
      </c>
      <c r="B9" s="253"/>
      <c r="C9" s="244">
        <v>2000</v>
      </c>
      <c r="D9" s="239" t="s">
        <v>925</v>
      </c>
      <c r="F9" s="85"/>
    </row>
    <row r="10" spans="1:8" s="51" customFormat="1" ht="30" customHeight="1">
      <c r="A10" s="233"/>
      <c r="B10" s="69"/>
      <c r="C10" s="35"/>
      <c r="D10" s="724" t="s">
        <v>1125</v>
      </c>
      <c r="E10" s="1052"/>
    </row>
    <row r="11" spans="1:8" s="51" customFormat="1" ht="30" customHeight="1">
      <c r="A11" s="233"/>
      <c r="B11" s="69"/>
      <c r="C11" s="35"/>
      <c r="D11" s="214"/>
      <c r="E11" s="1052"/>
    </row>
    <row r="12" spans="1:8" s="51" customFormat="1" ht="30" customHeight="1">
      <c r="A12" s="233"/>
      <c r="B12" s="69"/>
      <c r="C12" s="35"/>
      <c r="D12" s="239"/>
      <c r="E12" s="1052"/>
    </row>
    <row r="13" spans="1:8" s="51" customFormat="1" ht="30" customHeight="1">
      <c r="A13" s="233"/>
      <c r="B13" s="69"/>
      <c r="C13" s="35"/>
      <c r="D13" s="214"/>
      <c r="E13" s="1052"/>
    </row>
    <row r="14" spans="1:8" s="51" customFormat="1" ht="30" customHeight="1">
      <c r="A14" s="233"/>
      <c r="B14" s="69"/>
      <c r="C14" s="35"/>
      <c r="D14" s="214"/>
      <c r="E14" s="1052"/>
    </row>
    <row r="15" spans="1:8" s="51" customFormat="1" ht="30" customHeight="1">
      <c r="A15" s="200"/>
      <c r="B15" s="69"/>
      <c r="C15" s="35"/>
      <c r="D15" s="214"/>
      <c r="E15" s="1052"/>
    </row>
    <row r="16" spans="1:8" s="51" customFormat="1" ht="30" customHeight="1">
      <c r="A16" s="94"/>
      <c r="B16" s="69"/>
      <c r="C16" s="35"/>
      <c r="D16" s="216"/>
      <c r="E16" s="1052"/>
    </row>
    <row r="17" spans="1:5" s="51" customFormat="1" ht="30" customHeight="1">
      <c r="A17" s="233"/>
      <c r="B17" s="69"/>
      <c r="C17" s="35"/>
      <c r="D17" s="216"/>
      <c r="E17" s="1052"/>
    </row>
    <row r="18" spans="1:5" s="51" customFormat="1" ht="30" customHeight="1">
      <c r="A18" s="233"/>
      <c r="B18" s="69"/>
      <c r="C18" s="35"/>
      <c r="D18" s="214"/>
      <c r="E18" s="1052"/>
    </row>
    <row r="19" spans="1:5" s="51" customFormat="1" ht="30" customHeight="1">
      <c r="A19" s="233"/>
      <c r="B19" s="69"/>
      <c r="C19" s="35"/>
      <c r="D19" s="214"/>
    </row>
    <row r="20" spans="1:5" s="51" customFormat="1" ht="30" customHeight="1">
      <c r="A20" s="233"/>
      <c r="B20" s="69"/>
      <c r="C20" s="35"/>
      <c r="D20" s="214"/>
    </row>
    <row r="21" spans="1:5" s="51" customFormat="1" ht="30" customHeight="1">
      <c r="A21" s="233"/>
      <c r="B21" s="69"/>
      <c r="C21" s="35"/>
      <c r="D21" s="214"/>
    </row>
    <row r="22" spans="1:5" s="51" customFormat="1" ht="30" customHeight="1">
      <c r="A22" s="233"/>
      <c r="B22" s="69"/>
      <c r="C22" s="35"/>
      <c r="D22" s="214"/>
    </row>
    <row r="23" spans="1:5" s="51" customFormat="1" ht="30" customHeight="1">
      <c r="A23" s="233"/>
      <c r="B23" s="69"/>
      <c r="C23" s="35"/>
      <c r="D23" s="214"/>
    </row>
    <row r="24" spans="1:5" s="51" customFormat="1" ht="30" customHeight="1">
      <c r="A24" s="233"/>
      <c r="B24" s="69"/>
      <c r="C24" s="35"/>
      <c r="D24" s="214"/>
    </row>
    <row r="25" spans="1:5" s="51" customFormat="1" ht="30" customHeight="1">
      <c r="A25" s="233"/>
      <c r="B25" s="69"/>
      <c r="C25" s="35"/>
      <c r="D25" s="214"/>
    </row>
    <row r="26" spans="1:5" s="51" customFormat="1" ht="30" customHeight="1">
      <c r="A26" s="233"/>
      <c r="B26" s="69"/>
      <c r="C26" s="35"/>
      <c r="D26" s="214"/>
    </row>
    <row r="27" spans="1:5" s="96" customFormat="1" ht="30" customHeight="1">
      <c r="A27" s="233"/>
      <c r="B27" s="66"/>
      <c r="C27" s="35"/>
      <c r="D27" s="234"/>
    </row>
    <row r="28" spans="1:5" ht="49.5" customHeight="1" thickBot="1">
      <c r="A28" s="235"/>
      <c r="B28" s="236"/>
      <c r="C28" s="237"/>
      <c r="D28" s="238"/>
    </row>
    <row r="29" spans="1:5">
      <c r="A29" s="73"/>
      <c r="B29" s="73"/>
      <c r="C29" s="73"/>
      <c r="D29" s="73"/>
    </row>
    <row r="30" spans="1:5">
      <c r="A30" s="73"/>
      <c r="B30" s="73"/>
      <c r="C30" s="73"/>
      <c r="D30" s="73"/>
    </row>
    <row r="31" spans="1:5">
      <c r="A31" s="73"/>
      <c r="B31" s="73"/>
      <c r="C31" s="73"/>
      <c r="D31" s="73"/>
    </row>
    <row r="32" spans="1:5">
      <c r="A32" s="73"/>
      <c r="B32" s="73"/>
      <c r="C32" s="73"/>
      <c r="D32" s="73"/>
    </row>
    <row r="33" spans="1:4">
      <c r="A33" s="73"/>
      <c r="B33" s="73"/>
      <c r="C33" s="73"/>
      <c r="D33" s="73"/>
    </row>
    <row r="34" spans="1:4">
      <c r="A34" s="73"/>
      <c r="B34" s="73"/>
      <c r="C34" s="73"/>
      <c r="D34" s="73"/>
    </row>
    <row r="35" spans="1:4">
      <c r="A35" s="73"/>
      <c r="B35" s="73"/>
      <c r="C35" s="73"/>
      <c r="D35" s="73"/>
    </row>
    <row r="36" spans="1:4">
      <c r="A36" s="73"/>
      <c r="B36" s="73"/>
      <c r="C36" s="73"/>
      <c r="D36" s="73"/>
    </row>
    <row r="37" spans="1:4">
      <c r="A37" s="73"/>
      <c r="B37" s="73"/>
      <c r="C37" s="73"/>
      <c r="D37" s="73"/>
    </row>
    <row r="38" spans="1:4">
      <c r="A38" s="73"/>
      <c r="B38" s="73"/>
      <c r="C38" s="73"/>
      <c r="D38" s="73"/>
    </row>
    <row r="39" spans="1:4">
      <c r="A39" s="73"/>
      <c r="B39" s="73"/>
      <c r="C39" s="73"/>
      <c r="D39" s="73"/>
    </row>
    <row r="40" spans="1:4">
      <c r="A40" s="73"/>
      <c r="B40" s="73"/>
      <c r="C40" s="73"/>
      <c r="D40" s="73"/>
    </row>
    <row r="41" spans="1:4">
      <c r="A41" s="73"/>
      <c r="B41" s="73"/>
      <c r="C41" s="73"/>
      <c r="D41" s="73"/>
    </row>
  </sheetData>
  <mergeCells count="8">
    <mergeCell ref="E10:E18"/>
    <mergeCell ref="A1:D1"/>
    <mergeCell ref="A2:D2"/>
    <mergeCell ref="A3:D3"/>
    <mergeCell ref="A4:D4"/>
    <mergeCell ref="A6:B7"/>
    <mergeCell ref="C6:C7"/>
    <mergeCell ref="D6:D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22" orientation="portrait" useFirstPageNumber="1" r:id="rId1"/>
  <headerFooter scaleWithDoc="0" alignWithMargins="0">
    <oddFooter>&amp;C&amp;"Arial Unicode MS,標準"&amp;P</oddFooter>
  </headerFooter>
</worksheet>
</file>

<file path=xl/worksheets/sheet18.xml><?xml version="1.0" encoding="utf-8"?>
<worksheet xmlns="http://schemas.openxmlformats.org/spreadsheetml/2006/main" xmlns:r="http://schemas.openxmlformats.org/officeDocument/2006/relationships">
  <sheetPr codeName="Sheet17">
    <tabColor rgb="FFFFFFCC"/>
  </sheetPr>
  <dimension ref="A1:L59"/>
  <sheetViews>
    <sheetView zoomScaleNormal="100" workbookViewId="0">
      <selection activeCell="H18" sqref="H18"/>
    </sheetView>
  </sheetViews>
  <sheetFormatPr defaultColWidth="9" defaultRowHeight="16.2"/>
  <cols>
    <col min="1" max="1" width="6.88671875" style="34" customWidth="1"/>
    <col min="2" max="2" width="15.88671875" style="34" customWidth="1"/>
    <col min="3" max="3" width="4.109375" style="34" customWidth="1"/>
    <col min="4" max="4" width="6.21875" style="34" customWidth="1"/>
    <col min="5" max="5" width="5" style="34" customWidth="1"/>
    <col min="6" max="6" width="10.77734375" style="34" customWidth="1"/>
    <col min="7" max="7" width="6.33203125" style="34" customWidth="1"/>
    <col min="8" max="8" width="4.6640625" style="34" customWidth="1"/>
    <col min="9" max="9" width="11.77734375" style="34" customWidth="1"/>
    <col min="10" max="10" width="5.77734375" style="34" customWidth="1"/>
    <col min="11" max="11" width="5" style="34" customWidth="1"/>
    <col min="12" max="12" width="10.77734375" style="34" customWidth="1"/>
    <col min="13" max="16384" width="9" style="34"/>
  </cols>
  <sheetData>
    <row r="1" spans="1:12" ht="24.6">
      <c r="A1" s="992" t="s">
        <v>152</v>
      </c>
      <c r="B1" s="992"/>
      <c r="C1" s="992"/>
      <c r="D1" s="992"/>
      <c r="E1" s="992"/>
      <c r="F1" s="992"/>
      <c r="G1" s="992"/>
      <c r="H1" s="992"/>
      <c r="I1" s="992"/>
      <c r="J1" s="992"/>
      <c r="K1" s="992"/>
      <c r="L1" s="992"/>
    </row>
    <row r="2" spans="1:12" ht="22.2">
      <c r="A2" s="1005" t="s">
        <v>153</v>
      </c>
      <c r="B2" s="1005"/>
      <c r="C2" s="1005"/>
      <c r="D2" s="1005"/>
      <c r="E2" s="1005"/>
      <c r="F2" s="1005"/>
      <c r="G2" s="1005"/>
      <c r="H2" s="1005"/>
      <c r="I2" s="1005"/>
      <c r="J2" s="1005"/>
      <c r="K2" s="1005"/>
      <c r="L2" s="1005"/>
    </row>
    <row r="3" spans="1:12" ht="22.2">
      <c r="A3" s="1004" t="s">
        <v>338</v>
      </c>
      <c r="B3" s="1004"/>
      <c r="C3" s="1004"/>
      <c r="D3" s="1004"/>
      <c r="E3" s="1004"/>
      <c r="F3" s="1004"/>
      <c r="G3" s="1004"/>
      <c r="H3" s="1004"/>
      <c r="I3" s="1004"/>
      <c r="J3" s="1004"/>
      <c r="K3" s="1004"/>
      <c r="L3" s="1004"/>
    </row>
    <row r="4" spans="1:12" ht="19.8">
      <c r="A4" s="1082" t="s">
        <v>1047</v>
      </c>
      <c r="B4" s="1082"/>
      <c r="C4" s="1082"/>
      <c r="D4" s="1082"/>
      <c r="E4" s="1082"/>
      <c r="F4" s="1082"/>
      <c r="G4" s="1082"/>
      <c r="H4" s="1082"/>
      <c r="I4" s="1082"/>
      <c r="J4" s="1082"/>
      <c r="K4" s="1082"/>
      <c r="L4" s="1082"/>
    </row>
    <row r="5" spans="1:12" ht="16.8" thickBot="1">
      <c r="A5" s="36"/>
      <c r="B5" s="36"/>
      <c r="C5" s="36"/>
      <c r="D5" s="36"/>
      <c r="E5" s="36"/>
      <c r="F5" s="92"/>
      <c r="G5" s="92"/>
      <c r="H5" s="92"/>
      <c r="I5" s="1080" t="s">
        <v>674</v>
      </c>
      <c r="J5" s="1081"/>
      <c r="K5" s="1081"/>
      <c r="L5" s="1081"/>
    </row>
    <row r="6" spans="1:12" s="45" customFormat="1" ht="23.25" customHeight="1">
      <c r="A6" s="1065" t="s">
        <v>286</v>
      </c>
      <c r="B6" s="1066"/>
      <c r="C6" s="1083" t="s">
        <v>287</v>
      </c>
      <c r="D6" s="1066" t="s">
        <v>379</v>
      </c>
      <c r="E6" s="1066"/>
      <c r="F6" s="1066"/>
      <c r="G6" s="1066" t="s">
        <v>380</v>
      </c>
      <c r="H6" s="1066"/>
      <c r="I6" s="1066"/>
      <c r="J6" s="1066" t="s">
        <v>381</v>
      </c>
      <c r="K6" s="1066"/>
      <c r="L6" s="1079"/>
    </row>
    <row r="7" spans="1:12" s="45" customFormat="1" ht="61.5" customHeight="1">
      <c r="A7" s="1067"/>
      <c r="B7" s="1068"/>
      <c r="C7" s="1084"/>
      <c r="D7" s="289" t="s">
        <v>288</v>
      </c>
      <c r="E7" s="290" t="s">
        <v>289</v>
      </c>
      <c r="F7" s="87" t="s">
        <v>290</v>
      </c>
      <c r="G7" s="289" t="s">
        <v>288</v>
      </c>
      <c r="H7" s="290" t="s">
        <v>289</v>
      </c>
      <c r="I7" s="87" t="s">
        <v>290</v>
      </c>
      <c r="J7" s="289" t="s">
        <v>288</v>
      </c>
      <c r="K7" s="290" t="s">
        <v>289</v>
      </c>
      <c r="L7" s="291" t="s">
        <v>290</v>
      </c>
    </row>
    <row r="8" spans="1:12" s="740" customFormat="1" ht="24.3" customHeight="1">
      <c r="A8" s="747" t="s">
        <v>228</v>
      </c>
      <c r="B8" s="739"/>
      <c r="C8" s="746" t="s">
        <v>918</v>
      </c>
      <c r="D8" s="864">
        <v>477411</v>
      </c>
      <c r="E8" s="865">
        <f>(F8/D8)*1000</f>
        <v>1282.8925181866357</v>
      </c>
      <c r="F8" s="866">
        <f>F9</f>
        <v>612467</v>
      </c>
      <c r="G8" s="867">
        <v>500824</v>
      </c>
      <c r="H8" s="865">
        <f>(I8/G8)*1000</f>
        <v>1289.8682970464674</v>
      </c>
      <c r="I8" s="866">
        <f>I9</f>
        <v>645997</v>
      </c>
      <c r="J8" s="867">
        <v>502894</v>
      </c>
      <c r="K8" s="865">
        <f>(L8/J8)*1000</f>
        <v>1178.9343281089057</v>
      </c>
      <c r="L8" s="868">
        <f>L9</f>
        <v>592879</v>
      </c>
    </row>
    <row r="9" spans="1:12" s="751" customFormat="1" ht="24.3" customHeight="1">
      <c r="A9" s="748" t="s">
        <v>378</v>
      </c>
      <c r="B9" s="749"/>
      <c r="C9" s="750"/>
      <c r="D9" s="869"/>
      <c r="E9" s="869"/>
      <c r="F9" s="870">
        <f>SUM(F10,F20,F23,F29,F35,F39)</f>
        <v>612467</v>
      </c>
      <c r="G9" s="871"/>
      <c r="H9" s="872"/>
      <c r="I9" s="870">
        <f>SUM(I10,I20,I23,I29,I35,I39)</f>
        <v>645997</v>
      </c>
      <c r="J9" s="872"/>
      <c r="K9" s="871"/>
      <c r="L9" s="873">
        <f>SUM(L10,L20,L23,L29,L35,L39)-1</f>
        <v>592879</v>
      </c>
    </row>
    <row r="10" spans="1:12" s="754" customFormat="1" ht="24.3" customHeight="1">
      <c r="A10" s="752" t="s">
        <v>293</v>
      </c>
      <c r="B10" s="753"/>
      <c r="C10" s="536"/>
      <c r="D10" s="874"/>
      <c r="E10" s="874"/>
      <c r="F10" s="875">
        <f>SUM(F11:F19)</f>
        <v>527321</v>
      </c>
      <c r="G10" s="876"/>
      <c r="H10" s="876"/>
      <c r="I10" s="875">
        <f>SUM(I11:I19)</f>
        <v>552809</v>
      </c>
      <c r="J10" s="876"/>
      <c r="K10" s="877"/>
      <c r="L10" s="878">
        <f>SUM(L11:L19)</f>
        <v>521350</v>
      </c>
    </row>
    <row r="11" spans="1:12" s="754" customFormat="1" ht="24.3" customHeight="1">
      <c r="A11" s="755" t="s">
        <v>149</v>
      </c>
      <c r="B11" s="756"/>
      <c r="C11" s="529"/>
      <c r="D11" s="842"/>
      <c r="E11" s="842"/>
      <c r="F11" s="842">
        <v>12508</v>
      </c>
      <c r="G11" s="775"/>
      <c r="H11" s="775"/>
      <c r="I11" s="842">
        <v>14425</v>
      </c>
      <c r="J11" s="775"/>
      <c r="K11" s="879"/>
      <c r="L11" s="880">
        <v>12491</v>
      </c>
    </row>
    <row r="12" spans="1:12" s="754" customFormat="1" ht="24.3" customHeight="1">
      <c r="A12" s="755" t="s">
        <v>308</v>
      </c>
      <c r="B12" s="760"/>
      <c r="C12" s="761"/>
      <c r="D12" s="551"/>
      <c r="E12" s="551"/>
      <c r="F12" s="842">
        <v>17975</v>
      </c>
      <c r="G12" s="775"/>
      <c r="H12" s="775"/>
      <c r="I12" s="842">
        <v>19808</v>
      </c>
      <c r="J12" s="775"/>
      <c r="K12" s="879"/>
      <c r="L12" s="880">
        <v>16532</v>
      </c>
    </row>
    <row r="13" spans="1:12" s="754" customFormat="1" ht="24.3" customHeight="1">
      <c r="A13" s="755" t="s">
        <v>309</v>
      </c>
      <c r="B13" s="760"/>
      <c r="C13" s="761"/>
      <c r="D13" s="551"/>
      <c r="E13" s="551"/>
      <c r="F13" s="842">
        <v>4484</v>
      </c>
      <c r="G13" s="775"/>
      <c r="H13" s="775"/>
      <c r="I13" s="842">
        <v>5456</v>
      </c>
      <c r="J13" s="775"/>
      <c r="K13" s="879"/>
      <c r="L13" s="880">
        <v>4202</v>
      </c>
    </row>
    <row r="14" spans="1:12" s="754" customFormat="1" ht="24.3" customHeight="1">
      <c r="A14" s="755" t="s">
        <v>310</v>
      </c>
      <c r="B14" s="760"/>
      <c r="C14" s="761"/>
      <c r="D14" s="551"/>
      <c r="E14" s="551"/>
      <c r="F14" s="842">
        <f>10311-200</f>
        <v>10111</v>
      </c>
      <c r="G14" s="775"/>
      <c r="H14" s="775"/>
      <c r="I14" s="842">
        <v>10131</v>
      </c>
      <c r="J14" s="775"/>
      <c r="K14" s="879"/>
      <c r="L14" s="880">
        <v>9292</v>
      </c>
    </row>
    <row r="15" spans="1:12" s="754" customFormat="1" ht="24.3" customHeight="1">
      <c r="A15" s="762" t="s">
        <v>311</v>
      </c>
      <c r="B15" s="760"/>
      <c r="C15" s="761"/>
      <c r="D15" s="551"/>
      <c r="E15" s="551"/>
      <c r="F15" s="842">
        <v>15379</v>
      </c>
      <c r="G15" s="775"/>
      <c r="H15" s="775"/>
      <c r="I15" s="842">
        <v>13978</v>
      </c>
      <c r="J15" s="775"/>
      <c r="K15" s="879"/>
      <c r="L15" s="880">
        <v>9524</v>
      </c>
    </row>
    <row r="16" spans="1:12" s="754" customFormat="1" ht="24.3" customHeight="1">
      <c r="A16" s="762" t="s">
        <v>305</v>
      </c>
      <c r="B16" s="760"/>
      <c r="C16" s="761"/>
      <c r="D16" s="551"/>
      <c r="E16" s="551"/>
      <c r="F16" s="842">
        <v>155</v>
      </c>
      <c r="G16" s="775"/>
      <c r="H16" s="775"/>
      <c r="I16" s="842">
        <v>143</v>
      </c>
      <c r="J16" s="775"/>
      <c r="K16" s="879"/>
      <c r="L16" s="880">
        <v>152</v>
      </c>
    </row>
    <row r="17" spans="1:12" s="754" customFormat="1" ht="24.3" customHeight="1">
      <c r="A17" s="1071" t="s">
        <v>292</v>
      </c>
      <c r="B17" s="1070"/>
      <c r="C17" s="763"/>
      <c r="D17" s="881"/>
      <c r="E17" s="881"/>
      <c r="F17" s="882">
        <v>110454</v>
      </c>
      <c r="G17" s="876"/>
      <c r="H17" s="876"/>
      <c r="I17" s="882">
        <v>115071</v>
      </c>
      <c r="J17" s="876"/>
      <c r="K17" s="877"/>
      <c r="L17" s="883">
        <v>106766</v>
      </c>
    </row>
    <row r="18" spans="1:12" s="754" customFormat="1" ht="24.3" customHeight="1">
      <c r="A18" s="762" t="s">
        <v>294</v>
      </c>
      <c r="B18" s="764"/>
      <c r="C18" s="765"/>
      <c r="D18" s="884"/>
      <c r="E18" s="884"/>
      <c r="F18" s="882">
        <f>357431-1000-476</f>
        <v>355955</v>
      </c>
      <c r="G18" s="876"/>
      <c r="H18" s="876"/>
      <c r="I18" s="882">
        <v>373497</v>
      </c>
      <c r="J18" s="876"/>
      <c r="K18" s="877"/>
      <c r="L18" s="883">
        <v>362100</v>
      </c>
    </row>
    <row r="19" spans="1:12" s="754" customFormat="1" ht="24.3" customHeight="1">
      <c r="A19" s="762" t="s">
        <v>306</v>
      </c>
      <c r="B19" s="760"/>
      <c r="C19" s="761"/>
      <c r="D19" s="551"/>
      <c r="E19" s="551"/>
      <c r="F19" s="842">
        <v>300</v>
      </c>
      <c r="G19" s="775"/>
      <c r="H19" s="775"/>
      <c r="I19" s="842">
        <v>300</v>
      </c>
      <c r="J19" s="775"/>
      <c r="K19" s="879"/>
      <c r="L19" s="880">
        <v>291</v>
      </c>
    </row>
    <row r="20" spans="1:12" s="768" customFormat="1" ht="24.3" customHeight="1">
      <c r="A20" s="1072" t="s">
        <v>295</v>
      </c>
      <c r="B20" s="1073"/>
      <c r="C20" s="766"/>
      <c r="D20" s="885"/>
      <c r="E20" s="885"/>
      <c r="F20" s="874">
        <f>SUM(F21:F22)</f>
        <v>27622</v>
      </c>
      <c r="G20" s="775"/>
      <c r="H20" s="775"/>
      <c r="I20" s="874">
        <f>SUM(I21:I22)</f>
        <v>28077</v>
      </c>
      <c r="J20" s="775"/>
      <c r="K20" s="879"/>
      <c r="L20" s="886">
        <f>SUM(L21:L22)</f>
        <v>22603</v>
      </c>
    </row>
    <row r="21" spans="1:12" s="768" customFormat="1" ht="24.3" customHeight="1">
      <c r="A21" s="769" t="s">
        <v>296</v>
      </c>
      <c r="B21" s="770"/>
      <c r="C21" s="766"/>
      <c r="D21" s="885"/>
      <c r="E21" s="885"/>
      <c r="F21" s="842">
        <v>1069</v>
      </c>
      <c r="G21" s="775"/>
      <c r="H21" s="775"/>
      <c r="I21" s="842">
        <v>1364</v>
      </c>
      <c r="J21" s="775"/>
      <c r="K21" s="879"/>
      <c r="L21" s="880">
        <v>1166</v>
      </c>
    </row>
    <row r="22" spans="1:12" s="768" customFormat="1" ht="24.3" customHeight="1">
      <c r="A22" s="1069" t="s">
        <v>297</v>
      </c>
      <c r="B22" s="1070"/>
      <c r="C22" s="763"/>
      <c r="D22" s="763"/>
      <c r="E22" s="763"/>
      <c r="F22" s="529">
        <v>26553</v>
      </c>
      <c r="G22" s="758"/>
      <c r="H22" s="758"/>
      <c r="I22" s="529">
        <v>26713</v>
      </c>
      <c r="J22" s="758"/>
      <c r="K22" s="759"/>
      <c r="L22" s="530">
        <v>21437</v>
      </c>
    </row>
    <row r="23" spans="1:12" s="768" customFormat="1" ht="24.3" customHeight="1">
      <c r="A23" s="752" t="s">
        <v>298</v>
      </c>
      <c r="B23" s="771"/>
      <c r="C23" s="772"/>
      <c r="D23" s="772"/>
      <c r="E23" s="772"/>
      <c r="F23" s="536">
        <f>SUM(F24:F28)</f>
        <v>15168</v>
      </c>
      <c r="G23" s="758"/>
      <c r="H23" s="758"/>
      <c r="I23" s="536">
        <f>SUM(I24:I28)</f>
        <v>21511</v>
      </c>
      <c r="J23" s="758"/>
      <c r="K23" s="759"/>
      <c r="L23" s="537">
        <f>SUM(L24:L28)+1</f>
        <v>17506</v>
      </c>
    </row>
    <row r="24" spans="1:12" s="768" customFormat="1" ht="24.3" hidden="1" customHeight="1">
      <c r="A24" s="762" t="s">
        <v>480</v>
      </c>
      <c r="B24" s="760"/>
      <c r="C24" s="761"/>
      <c r="D24" s="761"/>
      <c r="E24" s="761"/>
      <c r="F24" s="529">
        <v>0</v>
      </c>
      <c r="G24" s="758"/>
      <c r="H24" s="758"/>
      <c r="I24" s="529">
        <v>0</v>
      </c>
      <c r="J24" s="758"/>
      <c r="K24" s="759"/>
      <c r="L24" s="530">
        <v>0</v>
      </c>
    </row>
    <row r="25" spans="1:12" s="768" customFormat="1" ht="24.3" customHeight="1">
      <c r="A25" s="762" t="s">
        <v>307</v>
      </c>
      <c r="B25" s="760"/>
      <c r="C25" s="761"/>
      <c r="D25" s="761"/>
      <c r="E25" s="761"/>
      <c r="F25" s="529">
        <v>1833</v>
      </c>
      <c r="G25" s="758"/>
      <c r="H25" s="758"/>
      <c r="I25" s="529">
        <v>1777</v>
      </c>
      <c r="J25" s="758"/>
      <c r="K25" s="759"/>
      <c r="L25" s="530">
        <v>1852</v>
      </c>
    </row>
    <row r="26" spans="1:12" s="768" customFormat="1" ht="24.3" customHeight="1">
      <c r="A26" s="762" t="s">
        <v>299</v>
      </c>
      <c r="B26" s="760"/>
      <c r="C26" s="761"/>
      <c r="D26" s="761"/>
      <c r="E26" s="761"/>
      <c r="F26" s="529">
        <v>8492</v>
      </c>
      <c r="G26" s="758"/>
      <c r="H26" s="758"/>
      <c r="I26" s="529">
        <v>14912</v>
      </c>
      <c r="J26" s="758"/>
      <c r="K26" s="759"/>
      <c r="L26" s="530">
        <v>10773</v>
      </c>
    </row>
    <row r="27" spans="1:12" s="768" customFormat="1" ht="24.3" customHeight="1">
      <c r="A27" s="1061" t="s">
        <v>300</v>
      </c>
      <c r="B27" s="1062"/>
      <c r="C27" s="761"/>
      <c r="D27" s="761"/>
      <c r="E27" s="761"/>
      <c r="F27" s="469">
        <v>4743</v>
      </c>
      <c r="G27" s="774"/>
      <c r="H27" s="774"/>
      <c r="I27" s="469">
        <v>4752</v>
      </c>
      <c r="J27" s="774"/>
      <c r="K27" s="759"/>
      <c r="L27" s="887">
        <v>4782</v>
      </c>
    </row>
    <row r="28" spans="1:12" s="768" customFormat="1" ht="24.3" customHeight="1">
      <c r="A28" s="1061" t="s">
        <v>478</v>
      </c>
      <c r="B28" s="1062"/>
      <c r="C28" s="761"/>
      <c r="D28" s="761"/>
      <c r="E28" s="761"/>
      <c r="F28" s="529">
        <v>100</v>
      </c>
      <c r="G28" s="774"/>
      <c r="H28" s="774"/>
      <c r="I28" s="529">
        <v>70</v>
      </c>
      <c r="J28" s="774"/>
      <c r="K28" s="759"/>
      <c r="L28" s="887">
        <v>98</v>
      </c>
    </row>
    <row r="29" spans="1:12" s="768" customFormat="1" ht="24.3" customHeight="1">
      <c r="A29" s="752" t="s">
        <v>301</v>
      </c>
      <c r="B29" s="771"/>
      <c r="C29" s="772"/>
      <c r="D29" s="772"/>
      <c r="E29" s="772"/>
      <c r="F29" s="536">
        <f>SUM(F30:F33)</f>
        <v>42356</v>
      </c>
      <c r="G29" s="758"/>
      <c r="H29" s="758"/>
      <c r="I29" s="536">
        <f>SUM(I30:I33)</f>
        <v>42600</v>
      </c>
      <c r="J29" s="758"/>
      <c r="K29" s="759"/>
      <c r="L29" s="537">
        <f>SUM(L30:L33)</f>
        <v>30224</v>
      </c>
    </row>
    <row r="30" spans="1:12" s="768" customFormat="1" ht="24.3" customHeight="1">
      <c r="A30" s="762" t="s">
        <v>302</v>
      </c>
      <c r="B30" s="760"/>
      <c r="C30" s="761"/>
      <c r="D30" s="761"/>
      <c r="E30" s="761"/>
      <c r="F30" s="842">
        <v>17641</v>
      </c>
      <c r="G30" s="775"/>
      <c r="H30" s="775"/>
      <c r="I30" s="842">
        <v>16380</v>
      </c>
      <c r="J30" s="775"/>
      <c r="K30" s="759"/>
      <c r="L30" s="880">
        <v>13635</v>
      </c>
    </row>
    <row r="31" spans="1:12" s="768" customFormat="1" ht="24.3" customHeight="1">
      <c r="A31" s="762" t="s">
        <v>141</v>
      </c>
      <c r="B31" s="760"/>
      <c r="C31" s="761"/>
      <c r="D31" s="761"/>
      <c r="E31" s="761"/>
      <c r="F31" s="842">
        <v>1099</v>
      </c>
      <c r="G31" s="775"/>
      <c r="H31" s="775"/>
      <c r="I31" s="842">
        <v>1020</v>
      </c>
      <c r="J31" s="775"/>
      <c r="K31" s="759"/>
      <c r="L31" s="880">
        <v>986</v>
      </c>
    </row>
    <row r="32" spans="1:12" s="768" customFormat="1" ht="24.3" customHeight="1">
      <c r="A32" s="762" t="s">
        <v>303</v>
      </c>
      <c r="B32" s="760"/>
      <c r="C32" s="761"/>
      <c r="D32" s="761"/>
      <c r="E32" s="761"/>
      <c r="F32" s="842">
        <v>2369</v>
      </c>
      <c r="G32" s="775"/>
      <c r="H32" s="775"/>
      <c r="I32" s="842">
        <v>2200</v>
      </c>
      <c r="J32" s="775"/>
      <c r="K32" s="759"/>
      <c r="L32" s="880">
        <v>947</v>
      </c>
    </row>
    <row r="33" spans="1:12" s="768" customFormat="1" ht="24" customHeight="1">
      <c r="A33" s="1069" t="s">
        <v>304</v>
      </c>
      <c r="B33" s="1078"/>
      <c r="C33" s="761"/>
      <c r="D33" s="761"/>
      <c r="E33" s="761"/>
      <c r="F33" s="842">
        <v>21247</v>
      </c>
      <c r="G33" s="775"/>
      <c r="H33" s="775"/>
      <c r="I33" s="842">
        <v>23000</v>
      </c>
      <c r="J33" s="775"/>
      <c r="K33" s="759"/>
      <c r="L33" s="880">
        <v>14656</v>
      </c>
    </row>
    <row r="34" spans="1:12" s="831" customFormat="1" ht="17.399999999999999" customHeight="1" thickBot="1">
      <c r="A34" s="829"/>
      <c r="B34" s="830"/>
      <c r="C34" s="776"/>
      <c r="D34" s="776"/>
      <c r="E34" s="776"/>
      <c r="F34" s="888"/>
      <c r="G34" s="777"/>
      <c r="H34" s="777"/>
      <c r="I34" s="888"/>
      <c r="J34" s="777"/>
      <c r="K34" s="778"/>
      <c r="L34" s="889"/>
    </row>
    <row r="35" spans="1:12" s="768" customFormat="1" ht="24.3" customHeight="1">
      <c r="A35" s="1076" t="s">
        <v>920</v>
      </c>
      <c r="B35" s="1077"/>
      <c r="C35" s="779"/>
      <c r="D35" s="779"/>
      <c r="E35" s="779"/>
      <c r="F35" s="890">
        <f>SUM(F36:F37)</f>
        <v>0</v>
      </c>
      <c r="G35" s="780"/>
      <c r="H35" s="780"/>
      <c r="I35" s="890">
        <f>SUM(I36:I37)</f>
        <v>0</v>
      </c>
      <c r="J35" s="780"/>
      <c r="K35" s="781"/>
      <c r="L35" s="891">
        <f>SUM(L36:L38)</f>
        <v>12</v>
      </c>
    </row>
    <row r="36" spans="1:12" s="768" customFormat="1" ht="24.3" hidden="1" customHeight="1">
      <c r="A36" s="755" t="s">
        <v>127</v>
      </c>
      <c r="B36" s="782"/>
      <c r="C36" s="772"/>
      <c r="D36" s="772"/>
      <c r="E36" s="772"/>
      <c r="F36" s="842">
        <v>0</v>
      </c>
      <c r="G36" s="758"/>
      <c r="H36" s="758"/>
      <c r="I36" s="842">
        <v>0</v>
      </c>
      <c r="J36" s="758"/>
      <c r="K36" s="759"/>
      <c r="L36" s="880">
        <v>0</v>
      </c>
    </row>
    <row r="37" spans="1:12" s="768" customFormat="1" ht="24.3" hidden="1" customHeight="1">
      <c r="A37" s="755" t="s">
        <v>687</v>
      </c>
      <c r="B37" s="760"/>
      <c r="C37" s="761"/>
      <c r="D37" s="761"/>
      <c r="E37" s="761"/>
      <c r="F37" s="842">
        <v>0</v>
      </c>
      <c r="G37" s="775"/>
      <c r="H37" s="775"/>
      <c r="I37" s="842">
        <v>0</v>
      </c>
      <c r="J37" s="775"/>
      <c r="K37" s="759"/>
      <c r="L37" s="880">
        <v>0</v>
      </c>
    </row>
    <row r="38" spans="1:12" s="768" customFormat="1" ht="24.3" customHeight="1">
      <c r="A38" s="755" t="s">
        <v>921</v>
      </c>
      <c r="B38" s="760"/>
      <c r="C38" s="761"/>
      <c r="D38" s="761"/>
      <c r="E38" s="761"/>
      <c r="F38" s="842">
        <v>0</v>
      </c>
      <c r="G38" s="775"/>
      <c r="H38" s="775"/>
      <c r="I38" s="842">
        <v>0</v>
      </c>
      <c r="J38" s="775"/>
      <c r="K38" s="759"/>
      <c r="L38" s="880">
        <v>12</v>
      </c>
    </row>
    <row r="39" spans="1:12" s="742" customFormat="1" ht="58.5" customHeight="1">
      <c r="A39" s="1074" t="s">
        <v>750</v>
      </c>
      <c r="B39" s="1075"/>
      <c r="C39" s="743"/>
      <c r="D39" s="743"/>
      <c r="E39" s="743"/>
      <c r="F39" s="892">
        <f>F40</f>
        <v>0</v>
      </c>
      <c r="G39" s="741"/>
      <c r="H39" s="741"/>
      <c r="I39" s="892">
        <f>I40</f>
        <v>1000</v>
      </c>
      <c r="J39" s="744"/>
      <c r="K39" s="745"/>
      <c r="L39" s="893">
        <f>L40</f>
        <v>1185</v>
      </c>
    </row>
    <row r="40" spans="1:12" s="768" customFormat="1" ht="25.05" customHeight="1">
      <c r="A40" s="755" t="s">
        <v>742</v>
      </c>
      <c r="B40" s="755"/>
      <c r="C40" s="761"/>
      <c r="D40" s="761"/>
      <c r="E40" s="761"/>
      <c r="F40" s="842">
        <f>1200-1200</f>
        <v>0</v>
      </c>
      <c r="G40" s="775"/>
      <c r="H40" s="775"/>
      <c r="I40" s="842">
        <v>1000</v>
      </c>
      <c r="J40" s="775"/>
      <c r="K40" s="759"/>
      <c r="L40" s="880">
        <v>1185</v>
      </c>
    </row>
    <row r="41" spans="1:12" s="372" customFormat="1" ht="25.05" customHeight="1">
      <c r="A41" s="371"/>
      <c r="B41" s="369"/>
      <c r="C41" s="370"/>
      <c r="D41" s="370"/>
      <c r="E41" s="370"/>
      <c r="F41" s="374"/>
      <c r="G41" s="375"/>
      <c r="H41" s="375"/>
      <c r="I41" s="374"/>
      <c r="J41" s="375"/>
      <c r="K41" s="199"/>
      <c r="L41" s="478"/>
    </row>
    <row r="42" spans="1:12" s="372" customFormat="1" ht="25.05" customHeight="1">
      <c r="A42" s="371"/>
      <c r="B42" s="369"/>
      <c r="C42" s="370"/>
      <c r="D42" s="370"/>
      <c r="E42" s="370"/>
      <c r="F42" s="374"/>
      <c r="G42" s="375"/>
      <c r="H42" s="375"/>
      <c r="I42" s="374"/>
      <c r="J42" s="375"/>
      <c r="K42" s="199"/>
      <c r="L42" s="478"/>
    </row>
    <row r="43" spans="1:12" s="372" customFormat="1" ht="25.05" customHeight="1">
      <c r="A43" s="371"/>
      <c r="B43" s="369"/>
      <c r="C43" s="370"/>
      <c r="D43" s="370"/>
      <c r="E43" s="370"/>
      <c r="F43" s="374"/>
      <c r="G43" s="375"/>
      <c r="H43" s="375"/>
      <c r="I43" s="374"/>
      <c r="J43" s="375"/>
      <c r="K43" s="199"/>
      <c r="L43" s="478"/>
    </row>
    <row r="44" spans="1:12" s="372" customFormat="1" ht="25.05" customHeight="1">
      <c r="A44" s="371"/>
      <c r="B44" s="369"/>
      <c r="C44" s="370"/>
      <c r="D44" s="370"/>
      <c r="E44" s="370"/>
      <c r="F44" s="374"/>
      <c r="G44" s="375"/>
      <c r="H44" s="375"/>
      <c r="I44" s="374"/>
      <c r="J44" s="375"/>
      <c r="K44" s="199"/>
      <c r="L44" s="478"/>
    </row>
    <row r="45" spans="1:12" s="372" customFormat="1" ht="25.05" customHeight="1">
      <c r="A45" s="371"/>
      <c r="B45" s="369"/>
      <c r="C45" s="370"/>
      <c r="D45" s="370"/>
      <c r="E45" s="370"/>
      <c r="F45" s="374"/>
      <c r="G45" s="375"/>
      <c r="H45" s="375"/>
      <c r="I45" s="374"/>
      <c r="J45" s="375"/>
      <c r="K45" s="199"/>
      <c r="L45" s="478"/>
    </row>
    <row r="46" spans="1:12" s="372" customFormat="1" ht="25.05" customHeight="1">
      <c r="A46" s="371"/>
      <c r="B46" s="369"/>
      <c r="C46" s="370"/>
      <c r="D46" s="370"/>
      <c r="E46" s="370"/>
      <c r="F46" s="374"/>
      <c r="G46" s="375"/>
      <c r="H46" s="375"/>
      <c r="I46" s="374"/>
      <c r="J46" s="375"/>
      <c r="K46" s="199"/>
      <c r="L46" s="478"/>
    </row>
    <row r="47" spans="1:12" s="372" customFormat="1" ht="25.05" customHeight="1">
      <c r="A47" s="371"/>
      <c r="B47" s="369"/>
      <c r="C47" s="370"/>
      <c r="D47" s="370"/>
      <c r="E47" s="370"/>
      <c r="F47" s="374"/>
      <c r="G47" s="375"/>
      <c r="H47" s="375"/>
      <c r="I47" s="374"/>
      <c r="J47" s="375"/>
      <c r="K47" s="199"/>
      <c r="L47" s="478"/>
    </row>
    <row r="48" spans="1:12" s="372" customFormat="1" ht="25.05" customHeight="1">
      <c r="A48" s="371"/>
      <c r="B48" s="369"/>
      <c r="C48" s="370"/>
      <c r="D48" s="370"/>
      <c r="E48" s="370"/>
      <c r="F48" s="374"/>
      <c r="G48" s="375"/>
      <c r="H48" s="375"/>
      <c r="I48" s="374"/>
      <c r="J48" s="375"/>
      <c r="K48" s="199"/>
      <c r="L48" s="478"/>
    </row>
    <row r="49" spans="1:12" s="372" customFormat="1" ht="25.05" customHeight="1">
      <c r="A49" s="371"/>
      <c r="B49" s="369"/>
      <c r="C49" s="370"/>
      <c r="D49" s="370"/>
      <c r="E49" s="370"/>
      <c r="F49" s="374"/>
      <c r="G49" s="375"/>
      <c r="H49" s="375"/>
      <c r="I49" s="374"/>
      <c r="J49" s="375"/>
      <c r="K49" s="199"/>
      <c r="L49" s="478"/>
    </row>
    <row r="50" spans="1:12" s="372" customFormat="1" ht="25.05" customHeight="1">
      <c r="A50" s="371"/>
      <c r="B50" s="369"/>
      <c r="C50" s="370"/>
      <c r="D50" s="370"/>
      <c r="E50" s="370"/>
      <c r="F50" s="374"/>
      <c r="G50" s="375"/>
      <c r="H50" s="375"/>
      <c r="I50" s="374"/>
      <c r="J50" s="375"/>
      <c r="K50" s="199"/>
      <c r="L50" s="478"/>
    </row>
    <row r="51" spans="1:12" s="372" customFormat="1" ht="25.05" customHeight="1">
      <c r="A51" s="371"/>
      <c r="B51" s="369"/>
      <c r="C51" s="370"/>
      <c r="D51" s="370"/>
      <c r="E51" s="370"/>
      <c r="F51" s="374"/>
      <c r="G51" s="375"/>
      <c r="H51" s="375"/>
      <c r="I51" s="374"/>
      <c r="J51" s="375"/>
      <c r="K51" s="199"/>
      <c r="L51" s="478"/>
    </row>
    <row r="52" spans="1:12" s="372" customFormat="1" ht="25.05" customHeight="1">
      <c r="A52" s="371"/>
      <c r="B52" s="369"/>
      <c r="C52" s="370"/>
      <c r="D52" s="370"/>
      <c r="E52" s="370"/>
      <c r="F52" s="374"/>
      <c r="G52" s="375"/>
      <c r="H52" s="375"/>
      <c r="I52" s="374"/>
      <c r="J52" s="375"/>
      <c r="K52" s="199"/>
      <c r="L52" s="478"/>
    </row>
    <row r="53" spans="1:12" s="372" customFormat="1" ht="25.05" customHeight="1">
      <c r="A53" s="371"/>
      <c r="B53" s="369"/>
      <c r="C53" s="370"/>
      <c r="D53" s="370"/>
      <c r="E53" s="370"/>
      <c r="F53" s="374"/>
      <c r="G53" s="375"/>
      <c r="H53" s="375"/>
      <c r="I53" s="374"/>
      <c r="J53" s="375"/>
      <c r="K53" s="199"/>
      <c r="L53" s="478"/>
    </row>
    <row r="54" spans="1:12" s="372" customFormat="1" ht="25.05" customHeight="1">
      <c r="A54" s="371"/>
      <c r="B54" s="369"/>
      <c r="C54" s="370"/>
      <c r="D54" s="370"/>
      <c r="E54" s="370"/>
      <c r="F54" s="374"/>
      <c r="G54" s="375"/>
      <c r="H54" s="375"/>
      <c r="I54" s="374"/>
      <c r="J54" s="375"/>
      <c r="K54" s="199"/>
      <c r="L54" s="478"/>
    </row>
    <row r="55" spans="1:12" s="372" customFormat="1" ht="25.05" customHeight="1">
      <c r="A55" s="371"/>
      <c r="B55" s="369"/>
      <c r="C55" s="370"/>
      <c r="D55" s="370"/>
      <c r="E55" s="370"/>
      <c r="F55" s="374"/>
      <c r="G55" s="375"/>
      <c r="H55" s="375"/>
      <c r="I55" s="374"/>
      <c r="J55" s="375"/>
      <c r="K55" s="199"/>
      <c r="L55" s="478"/>
    </row>
    <row r="56" spans="1:12" s="372" customFormat="1" ht="25.05" customHeight="1">
      <c r="A56" s="371"/>
      <c r="B56" s="369"/>
      <c r="C56" s="370"/>
      <c r="D56" s="370"/>
      <c r="E56" s="370"/>
      <c r="F56" s="374"/>
      <c r="G56" s="375"/>
      <c r="H56" s="375"/>
      <c r="I56" s="374"/>
      <c r="J56" s="375"/>
      <c r="K56" s="199"/>
      <c r="L56" s="478"/>
    </row>
    <row r="57" spans="1:12" s="372" customFormat="1" ht="25.05" customHeight="1">
      <c r="A57" s="371"/>
      <c r="B57" s="369"/>
      <c r="C57" s="370"/>
      <c r="D57" s="370"/>
      <c r="E57" s="370"/>
      <c r="F57" s="374"/>
      <c r="G57" s="375"/>
      <c r="H57" s="375"/>
      <c r="I57" s="374"/>
      <c r="J57" s="375"/>
      <c r="K57" s="199"/>
      <c r="L57" s="478"/>
    </row>
    <row r="58" spans="1:12" s="372" customFormat="1" ht="24.75" customHeight="1">
      <c r="A58" s="371"/>
      <c r="B58" s="369"/>
      <c r="C58" s="370"/>
      <c r="D58" s="370"/>
      <c r="E58" s="370"/>
      <c r="F58" s="374"/>
      <c r="G58" s="375"/>
      <c r="H58" s="375"/>
      <c r="I58" s="374"/>
      <c r="J58" s="375"/>
      <c r="K58" s="199"/>
      <c r="L58" s="478"/>
    </row>
    <row r="59" spans="1:12" s="377" customFormat="1" ht="39" customHeight="1" thickBot="1">
      <c r="A59" s="1063" t="s">
        <v>466</v>
      </c>
      <c r="B59" s="1064"/>
      <c r="C59" s="376"/>
      <c r="D59" s="376"/>
      <c r="E59" s="376"/>
      <c r="F59" s="894">
        <f>F9</f>
        <v>612467</v>
      </c>
      <c r="G59" s="582"/>
      <c r="H59" s="582"/>
      <c r="I59" s="894">
        <f>I9</f>
        <v>645997</v>
      </c>
      <c r="J59" s="582"/>
      <c r="K59" s="583"/>
      <c r="L59" s="895">
        <f>L9</f>
        <v>592879</v>
      </c>
    </row>
  </sheetData>
  <mergeCells count="19">
    <mergeCell ref="G6:I6"/>
    <mergeCell ref="J6:L6"/>
    <mergeCell ref="I5:L5"/>
    <mergeCell ref="A1:L1"/>
    <mergeCell ref="A2:L2"/>
    <mergeCell ref="A3:L3"/>
    <mergeCell ref="A4:L4"/>
    <mergeCell ref="C6:C7"/>
    <mergeCell ref="D6:F6"/>
    <mergeCell ref="A28:B28"/>
    <mergeCell ref="A59:B59"/>
    <mergeCell ref="A6:B7"/>
    <mergeCell ref="A22:B22"/>
    <mergeCell ref="A17:B17"/>
    <mergeCell ref="A20:B20"/>
    <mergeCell ref="A39:B39"/>
    <mergeCell ref="A35:B35"/>
    <mergeCell ref="A27:B27"/>
    <mergeCell ref="A33:B33"/>
  </mergeCells>
  <phoneticPr fontId="2" type="noConversion"/>
  <printOptions horizontalCentered="1"/>
  <pageMargins left="0.6692913385826772" right="0.6692913385826772" top="0.59055118110236227" bottom="0.78740157480314965" header="0.51181102362204722" footer="0.51181102362204722"/>
  <pageSetup paperSize="9" scale="94" firstPageNumber="23" orientation="portrait" blackAndWhite="1" useFirstPageNumber="1" r:id="rId1"/>
  <headerFooter scaleWithDoc="0" alignWithMargins="0">
    <oddFooter>&amp;C&amp;"Arial Unicode MS,標準"&amp;P</oddFooter>
  </headerFooter>
</worksheet>
</file>

<file path=xl/worksheets/sheet19.xml><?xml version="1.0" encoding="utf-8"?>
<worksheet xmlns="http://schemas.openxmlformats.org/spreadsheetml/2006/main" xmlns:r="http://schemas.openxmlformats.org/officeDocument/2006/relationships">
  <sheetPr>
    <tabColor indexed="42"/>
  </sheetPr>
  <dimension ref="A1:T101"/>
  <sheetViews>
    <sheetView view="pageBreakPreview" topLeftCell="A31" zoomScaleNormal="75" zoomScaleSheetLayoutView="100" workbookViewId="0">
      <selection activeCell="E46" sqref="E46"/>
    </sheetView>
  </sheetViews>
  <sheetFormatPr defaultColWidth="9" defaultRowHeight="16.2"/>
  <cols>
    <col min="1" max="2" width="15.6640625" style="84" customWidth="1"/>
    <col min="3" max="3" width="7.6640625" style="84" customWidth="1"/>
    <col min="4" max="4" width="35.6640625" style="84" customWidth="1"/>
    <col min="5" max="5" width="15.6640625" style="84" customWidth="1"/>
    <col min="6" max="6" width="8.77734375" style="34" hidden="1" customWidth="1"/>
    <col min="7" max="7" width="9.33203125" style="154" bestFit="1" customWidth="1"/>
    <col min="8" max="8" width="11" style="34" bestFit="1" customWidth="1"/>
    <col min="9" max="9" width="11.109375" style="34" customWidth="1"/>
    <col min="10" max="10" width="11.21875" style="34" customWidth="1"/>
    <col min="11" max="11" width="11.44140625" style="34" customWidth="1"/>
    <col min="12" max="12" width="11" style="34" bestFit="1" customWidth="1"/>
    <col min="13" max="16384" width="9" style="34"/>
  </cols>
  <sheetData>
    <row r="1" spans="1:12" ht="24.6">
      <c r="A1" s="1096" t="s">
        <v>152</v>
      </c>
      <c r="B1" s="1096"/>
      <c r="C1" s="1096"/>
      <c r="D1" s="1096"/>
      <c r="E1" s="1096"/>
      <c r="F1" s="36"/>
    </row>
    <row r="2" spans="1:12" ht="22.2">
      <c r="A2" s="1097" t="s">
        <v>153</v>
      </c>
      <c r="B2" s="1097"/>
      <c r="C2" s="1097"/>
      <c r="D2" s="1097"/>
      <c r="E2" s="1097"/>
      <c r="F2" s="37"/>
      <c r="H2" s="483" t="s">
        <v>945</v>
      </c>
      <c r="L2" s="34">
        <v>649851</v>
      </c>
    </row>
    <row r="3" spans="1:12" ht="22.2">
      <c r="A3" s="1098" t="s">
        <v>338</v>
      </c>
      <c r="B3" s="1098"/>
      <c r="C3" s="1098"/>
      <c r="D3" s="1098"/>
      <c r="E3" s="1098"/>
      <c r="F3" s="732"/>
      <c r="H3" s="483" t="s">
        <v>719</v>
      </c>
      <c r="L3" s="34">
        <v>722237</v>
      </c>
    </row>
    <row r="4" spans="1:12" ht="19.8">
      <c r="A4" s="1099" t="s">
        <v>1030</v>
      </c>
      <c r="B4" s="1099"/>
      <c r="C4" s="1099"/>
      <c r="D4" s="1099"/>
      <c r="E4" s="1099"/>
      <c r="F4" s="39"/>
      <c r="H4" s="484">
        <f>581070/673806</f>
        <v>0.86236988094496037</v>
      </c>
    </row>
    <row r="5" spans="1:12" ht="16.8" thickBot="1">
      <c r="A5" s="1100" t="s">
        <v>672</v>
      </c>
      <c r="B5" s="1100"/>
      <c r="C5" s="1100"/>
      <c r="D5" s="1100"/>
      <c r="E5" s="1100"/>
      <c r="F5" s="41"/>
      <c r="H5" s="484" t="s">
        <v>946</v>
      </c>
      <c r="J5" s="34">
        <v>720932</v>
      </c>
    </row>
    <row r="6" spans="1:12" s="45" customFormat="1" ht="21" customHeight="1">
      <c r="A6" s="1101" t="s">
        <v>168</v>
      </c>
      <c r="B6" s="1101" t="s">
        <v>159</v>
      </c>
      <c r="C6" s="1103" t="s">
        <v>139</v>
      </c>
      <c r="D6" s="1104"/>
      <c r="E6" s="1107" t="s">
        <v>136</v>
      </c>
      <c r="F6" s="74"/>
      <c r="G6" s="155"/>
      <c r="H6" s="483" t="s">
        <v>718</v>
      </c>
      <c r="J6" s="485">
        <v>796446</v>
      </c>
      <c r="K6" s="45">
        <v>3100</v>
      </c>
      <c r="L6" s="544">
        <v>790445</v>
      </c>
    </row>
    <row r="7" spans="1:12" s="45" customFormat="1" ht="15.75" customHeight="1" thickBot="1">
      <c r="A7" s="1102"/>
      <c r="B7" s="1102"/>
      <c r="C7" s="1105"/>
      <c r="D7" s="1106"/>
      <c r="E7" s="1102"/>
      <c r="F7" s="75"/>
      <c r="G7" s="155"/>
      <c r="H7" s="483" t="s">
        <v>947</v>
      </c>
      <c r="I7" s="483" t="s">
        <v>948</v>
      </c>
      <c r="J7" s="45" t="s">
        <v>509</v>
      </c>
      <c r="K7" s="45" t="s">
        <v>949</v>
      </c>
    </row>
    <row r="8" spans="1:12" s="45" customFormat="1" ht="23.55" customHeight="1">
      <c r="A8" s="32">
        <f>SUM(A9,A51,A61,A73,A82,A90)-1</f>
        <v>592879</v>
      </c>
      <c r="B8" s="32">
        <f>SUM(B9,B51,B61,B73,B82,B90)</f>
        <v>646803</v>
      </c>
      <c r="C8" s="46" t="s">
        <v>173</v>
      </c>
      <c r="D8" s="47"/>
      <c r="E8" s="32">
        <f>SUM(E9,E51,E61,E73,E82,E90)</f>
        <v>612467</v>
      </c>
      <c r="F8" s="32" t="e">
        <f>#REF!+F9+F50+F60+F71+#REF!+#REF!+#REF!+#REF!</f>
        <v>#REF!</v>
      </c>
      <c r="G8" s="155">
        <f>E8/B8</f>
        <v>0.94691428456577964</v>
      </c>
      <c r="H8" s="32">
        <f>SUM(H9,H50,H60,H71,H80,H83)</f>
        <v>762394.44582013285</v>
      </c>
      <c r="I8" s="32">
        <f>SUM(I9,I50,I60,I71,I80,I83)</f>
        <v>693214.37464987242</v>
      </c>
      <c r="J8" s="32">
        <f>SUM(J9,J50,J60,J71,J80,J83)</f>
        <v>727750.37554278946</v>
      </c>
      <c r="K8" s="32">
        <f>SUM(K9,K50,K60,K71,K80,K83)</f>
        <v>786095</v>
      </c>
    </row>
    <row r="9" spans="1:12" s="48" customFormat="1" ht="23.55" customHeight="1">
      <c r="A9" s="25">
        <f>SUM(A10,A14,A18,A22,A26,A31,A34,A39,A49)</f>
        <v>521350</v>
      </c>
      <c r="B9" s="25">
        <f>SUM(B10,B14,B18,B22,B26,B31,B34,B39,B49)</f>
        <v>553415</v>
      </c>
      <c r="C9" s="54" t="s">
        <v>140</v>
      </c>
      <c r="D9" s="42"/>
      <c r="E9" s="25">
        <f>SUM(E10,E14,E18,E22,E26,E31,E34,E39,E49)</f>
        <v>527321</v>
      </c>
      <c r="F9" s="25" t="e">
        <f>SUM(F10,F14,F18,F22,F39,F34,#REF!)</f>
        <v>#REF!</v>
      </c>
      <c r="G9" s="155">
        <f t="shared" ref="G9:G40" si="0">E9/B9</f>
        <v>0.95284912768898566</v>
      </c>
      <c r="H9" s="25">
        <f>SUM(H10,H14,H18,H22,H26,H31,H34,H39,H48)</f>
        <v>611382.43702596088</v>
      </c>
      <c r="I9" s="25">
        <f>SUM(I10,I14,I18,I22,I26,I31,I34,I39,I48)</f>
        <v>574878.39870291878</v>
      </c>
      <c r="J9" s="25">
        <f>SUM(J10,J14,J18,J22,J26,J31,J34,J39,J48)</f>
        <v>593076.3831722266</v>
      </c>
      <c r="K9" s="25">
        <f>SUM(K10,K14,K18,K22,K26,K31,K34,K39,K48)</f>
        <v>704355</v>
      </c>
    </row>
    <row r="10" spans="1:12" s="48" customFormat="1" ht="23.55" customHeight="1">
      <c r="A10" s="25">
        <f>SUM(A11:A13)</f>
        <v>12491</v>
      </c>
      <c r="B10" s="25">
        <f>SUM(B11:B13)</f>
        <v>14425</v>
      </c>
      <c r="C10" s="201" t="s">
        <v>149</v>
      </c>
      <c r="D10" s="42"/>
      <c r="E10" s="25">
        <f>SUM(E11:E13)</f>
        <v>12508</v>
      </c>
      <c r="F10" s="25">
        <f>SUM(F11:F12)</f>
        <v>0</v>
      </c>
      <c r="G10" s="155">
        <f t="shared" si="0"/>
        <v>0.86710571923743496</v>
      </c>
      <c r="H10" s="25">
        <f>SUM(H11:H13)</f>
        <v>15935.946178002916</v>
      </c>
      <c r="I10" s="25">
        <f>SUM(I11:I13)</f>
        <v>13774.435519088611</v>
      </c>
      <c r="J10" s="25">
        <f>SUM(J11:J13)</f>
        <v>14855.190848545766</v>
      </c>
      <c r="K10" s="25">
        <f>SUM(K11:K13)</f>
        <v>15200</v>
      </c>
    </row>
    <row r="11" spans="1:12" s="48" customFormat="1" ht="23.55" customHeight="1">
      <c r="A11" s="156">
        <v>12123</v>
      </c>
      <c r="B11" s="156">
        <v>14000</v>
      </c>
      <c r="C11" s="49" t="s">
        <v>150</v>
      </c>
      <c r="D11" s="42"/>
      <c r="E11" s="156">
        <v>12000</v>
      </c>
      <c r="F11" s="25"/>
      <c r="G11" s="155">
        <f t="shared" si="0"/>
        <v>0.8571428571428571</v>
      </c>
      <c r="H11" s="156">
        <f>B11/$J$5*$J$6</f>
        <v>15466.429566172676</v>
      </c>
      <c r="I11" s="156">
        <f>A11/$L$3*$J$6</f>
        <v>13368.623953079115</v>
      </c>
      <c r="J11" s="156">
        <f>(H11+I11)/2</f>
        <v>14417.526759625896</v>
      </c>
      <c r="K11" s="156">
        <v>14670</v>
      </c>
      <c r="L11" s="48">
        <f>12879521+677610</f>
        <v>13557131</v>
      </c>
    </row>
    <row r="12" spans="1:12" s="48" customFormat="1" ht="23.55" customHeight="1">
      <c r="A12" s="156">
        <v>272</v>
      </c>
      <c r="B12" s="156">
        <v>275</v>
      </c>
      <c r="C12" s="49" t="s">
        <v>151</v>
      </c>
      <c r="D12" s="42"/>
      <c r="E12" s="156">
        <v>358</v>
      </c>
      <c r="F12" s="25"/>
      <c r="G12" s="155">
        <f t="shared" si="0"/>
        <v>1.3018181818181818</v>
      </c>
      <c r="H12" s="156">
        <f>B12/$J$5*$J$6</f>
        <v>303.80486647839183</v>
      </c>
      <c r="I12" s="156">
        <f>A12/$L$3*$J$6</f>
        <v>299.94767922440974</v>
      </c>
      <c r="J12" s="156">
        <f>(H12+I12)/2</f>
        <v>301.87627285140081</v>
      </c>
      <c r="K12" s="156">
        <v>380</v>
      </c>
      <c r="L12" s="48">
        <f>312615+32886</f>
        <v>345501</v>
      </c>
    </row>
    <row r="13" spans="1:12" s="48" customFormat="1" ht="23.55" customHeight="1">
      <c r="A13" s="156">
        <v>96</v>
      </c>
      <c r="B13" s="156">
        <v>150</v>
      </c>
      <c r="C13" s="44" t="s">
        <v>416</v>
      </c>
      <c r="D13" s="42"/>
      <c r="E13" s="156">
        <v>150</v>
      </c>
      <c r="F13" s="25"/>
      <c r="G13" s="155">
        <f t="shared" si="0"/>
        <v>1</v>
      </c>
      <c r="H13" s="156">
        <f>B13/$J$5*$J$6</f>
        <v>165.71174535185011</v>
      </c>
      <c r="I13" s="156">
        <f>A13/$L$3*$J$6</f>
        <v>105.86388678508578</v>
      </c>
      <c r="J13" s="156">
        <f t="shared" ref="J13:J49" si="1">(H13+I13)/2</f>
        <v>135.78781606846795</v>
      </c>
      <c r="K13" s="156">
        <v>150</v>
      </c>
    </row>
    <row r="14" spans="1:12" s="48" customFormat="1" ht="23.55" customHeight="1">
      <c r="A14" s="25">
        <f>SUM(A15:A17)</f>
        <v>16532</v>
      </c>
      <c r="B14" s="25">
        <f>SUM(B15:B17)</f>
        <v>19808</v>
      </c>
      <c r="C14" s="86" t="s">
        <v>95</v>
      </c>
      <c r="D14" s="43"/>
      <c r="E14" s="25">
        <f>SUM(E15:E17)</f>
        <v>17975</v>
      </c>
      <c r="F14" s="25">
        <f>SUM(F15:F16)</f>
        <v>0</v>
      </c>
      <c r="G14" s="155">
        <f t="shared" si="0"/>
        <v>0.9074616316639742</v>
      </c>
      <c r="H14" s="25">
        <f>SUM(H15:H17)</f>
        <v>21882.78834619631</v>
      </c>
      <c r="I14" s="25">
        <f>SUM(I15:I17)</f>
        <v>18230.643503448315</v>
      </c>
      <c r="J14" s="25">
        <f>SUM(J15:J17)</f>
        <v>20056.715924822314</v>
      </c>
      <c r="K14" s="25">
        <f>SUM(K15:K17)</f>
        <v>25000</v>
      </c>
    </row>
    <row r="15" spans="1:12" s="48" customFormat="1" ht="23.55" customHeight="1">
      <c r="A15" s="156">
        <v>11797</v>
      </c>
      <c r="B15" s="156">
        <v>12967</v>
      </c>
      <c r="C15" s="44" t="s">
        <v>950</v>
      </c>
      <c r="D15" s="43"/>
      <c r="E15" s="156">
        <v>12060</v>
      </c>
      <c r="G15" s="155">
        <f t="shared" si="0"/>
        <v>0.93005321199969149</v>
      </c>
      <c r="H15" s="156">
        <f>B15/$J$5*$J$6</f>
        <v>14325.228013182936</v>
      </c>
      <c r="I15" s="156">
        <f>A15/$L$3*$J$6</f>
        <v>13009.127837538095</v>
      </c>
      <c r="J15" s="156">
        <f t="shared" si="1"/>
        <v>13667.177925360516</v>
      </c>
      <c r="K15" s="156">
        <v>17500</v>
      </c>
    </row>
    <row r="16" spans="1:12" s="48" customFormat="1" ht="23.55" customHeight="1">
      <c r="A16" s="156">
        <v>1475</v>
      </c>
      <c r="B16" s="156">
        <v>2100</v>
      </c>
      <c r="C16" s="44" t="s">
        <v>418</v>
      </c>
      <c r="D16" s="43"/>
      <c r="E16" s="156">
        <v>2099</v>
      </c>
      <c r="G16" s="155">
        <f t="shared" si="0"/>
        <v>0.99952380952380948</v>
      </c>
      <c r="H16" s="156">
        <f>B16/$J$5*$J$6</f>
        <v>2319.9644349259015</v>
      </c>
      <c r="I16" s="156">
        <f>A16/$L$3*$J$6</f>
        <v>1626.554510500016</v>
      </c>
      <c r="J16" s="156">
        <f t="shared" si="1"/>
        <v>1973.2594727129588</v>
      </c>
      <c r="K16" s="156">
        <v>2700</v>
      </c>
    </row>
    <row r="17" spans="1:12" s="48" customFormat="1" ht="23.55" customHeight="1">
      <c r="A17" s="156">
        <v>3260</v>
      </c>
      <c r="B17" s="156">
        <v>4741</v>
      </c>
      <c r="C17" s="44" t="s">
        <v>951</v>
      </c>
      <c r="D17" s="43"/>
      <c r="E17" s="156">
        <v>3816</v>
      </c>
      <c r="G17" s="155">
        <f t="shared" si="0"/>
        <v>0.80489348238768188</v>
      </c>
      <c r="H17" s="156">
        <f>B17/$J$5*$J$6</f>
        <v>5237.5958980874757</v>
      </c>
      <c r="I17" s="156">
        <f>A17/$L$3*$J$6</f>
        <v>3594.9611554102048</v>
      </c>
      <c r="J17" s="156">
        <f t="shared" si="1"/>
        <v>4416.2785267488398</v>
      </c>
      <c r="K17" s="156">
        <v>4800</v>
      </c>
      <c r="L17" s="48" t="s">
        <v>720</v>
      </c>
    </row>
    <row r="18" spans="1:12" s="48" customFormat="1" ht="23.55" customHeight="1">
      <c r="A18" s="25">
        <f>SUM(A19:A21)</f>
        <v>4202</v>
      </c>
      <c r="B18" s="25">
        <f>SUM(B19:B21)</f>
        <v>6062</v>
      </c>
      <c r="C18" s="86" t="s">
        <v>952</v>
      </c>
      <c r="D18" s="43"/>
      <c r="E18" s="25">
        <f>SUM(E19:E21)</f>
        <v>4484</v>
      </c>
      <c r="F18" s="25">
        <f>SUM(F19:F20)</f>
        <v>0</v>
      </c>
      <c r="G18" s="155">
        <f t="shared" si="0"/>
        <v>0.73968987132959418</v>
      </c>
      <c r="H18" s="25">
        <f>SUM(H19:H21)</f>
        <v>6696.9640021527684</v>
      </c>
      <c r="I18" s="25">
        <f>SUM(I19:I21)</f>
        <v>4633.7505444888593</v>
      </c>
      <c r="J18" s="25">
        <f>SUM(J19:J21)</f>
        <v>5665.3572733208139</v>
      </c>
      <c r="K18" s="25">
        <f>SUM(K19:K21)</f>
        <v>7050</v>
      </c>
    </row>
    <row r="19" spans="1:12" s="48" customFormat="1" ht="23.55" customHeight="1">
      <c r="A19" s="156">
        <v>3516</v>
      </c>
      <c r="B19" s="156">
        <v>5011</v>
      </c>
      <c r="C19" s="44" t="s">
        <v>953</v>
      </c>
      <c r="D19" s="43"/>
      <c r="E19" s="156">
        <v>3467</v>
      </c>
      <c r="G19" s="155">
        <f t="shared" si="0"/>
        <v>0.69187786868888446</v>
      </c>
      <c r="H19" s="156">
        <f>B19/$J$5*$J$6</f>
        <v>5535.8770397208054</v>
      </c>
      <c r="I19" s="156">
        <f>A19/$L$3*$J$6</f>
        <v>3877.264853503767</v>
      </c>
      <c r="J19" s="156">
        <f t="shared" si="1"/>
        <v>4706.5709466122862</v>
      </c>
      <c r="K19" s="156">
        <v>4800</v>
      </c>
    </row>
    <row r="20" spans="1:12" s="48" customFormat="1" ht="23.55" customHeight="1">
      <c r="A20" s="156">
        <v>661</v>
      </c>
      <c r="B20" s="156">
        <v>1021</v>
      </c>
      <c r="C20" s="697" t="s">
        <v>954</v>
      </c>
      <c r="D20" s="43"/>
      <c r="E20" s="156">
        <v>987</v>
      </c>
      <c r="G20" s="155">
        <f t="shared" si="0"/>
        <v>0.96669931439764933</v>
      </c>
      <c r="H20" s="156">
        <f>B20/$J$5*$J$6</f>
        <v>1127.9446133615932</v>
      </c>
      <c r="I20" s="156">
        <f>A20/$L$3*$J$6</f>
        <v>728.91697046814272</v>
      </c>
      <c r="J20" s="156">
        <f t="shared" si="1"/>
        <v>928.430791914868</v>
      </c>
      <c r="K20" s="156">
        <v>1700</v>
      </c>
    </row>
    <row r="21" spans="1:12" s="48" customFormat="1" ht="23.55" customHeight="1">
      <c r="A21" s="156">
        <v>25</v>
      </c>
      <c r="B21" s="156">
        <v>30</v>
      </c>
      <c r="C21" s="44" t="s">
        <v>955</v>
      </c>
      <c r="D21" s="43"/>
      <c r="E21" s="156">
        <v>30</v>
      </c>
      <c r="G21" s="155">
        <f t="shared" si="0"/>
        <v>1</v>
      </c>
      <c r="H21" s="156">
        <f>B21/$J$5*$J$6</f>
        <v>33.142349070370017</v>
      </c>
      <c r="I21" s="156">
        <f>A21/$L$3*$J$6</f>
        <v>27.568720516949419</v>
      </c>
      <c r="J21" s="156">
        <f t="shared" si="1"/>
        <v>30.355534793659718</v>
      </c>
      <c r="K21" s="156">
        <v>550</v>
      </c>
    </row>
    <row r="22" spans="1:12" s="48" customFormat="1" ht="23.55" customHeight="1">
      <c r="A22" s="25">
        <f>SUM(A23:A25)</f>
        <v>9292</v>
      </c>
      <c r="B22" s="25">
        <f>SUM(B23:B25)</f>
        <v>10131</v>
      </c>
      <c r="C22" s="86" t="s">
        <v>956</v>
      </c>
      <c r="D22" s="43"/>
      <c r="E22" s="25">
        <f>SUM(E23:E25)</f>
        <v>10111</v>
      </c>
      <c r="F22" s="25">
        <f>SUM(F23:F25)</f>
        <v>0</v>
      </c>
      <c r="G22" s="155">
        <f t="shared" si="0"/>
        <v>0.9980258612180436</v>
      </c>
      <c r="H22" s="25">
        <f>SUM(H23:H25)</f>
        <v>11192.171281063956</v>
      </c>
      <c r="I22" s="25">
        <f>SUM(I23:I25)</f>
        <v>10246.742041739761</v>
      </c>
      <c r="J22" s="25">
        <f>SUM(J23:J25)</f>
        <v>10719.456661401859</v>
      </c>
      <c r="K22" s="25">
        <f>SUM(K23:K25)</f>
        <v>15600</v>
      </c>
    </row>
    <row r="23" spans="1:12" s="48" customFormat="1" ht="23.55" customHeight="1">
      <c r="A23" s="156">
        <v>7512</v>
      </c>
      <c r="B23" s="156">
        <v>7996</v>
      </c>
      <c r="C23" s="44" t="s">
        <v>957</v>
      </c>
      <c r="D23" s="43"/>
      <c r="E23" s="156">
        <v>7815</v>
      </c>
      <c r="G23" s="155">
        <f t="shared" si="0"/>
        <v>0.97736368184092048</v>
      </c>
      <c r="H23" s="156">
        <f>B23/$J$5*$J$6</f>
        <v>8833.5407722226228</v>
      </c>
      <c r="I23" s="156">
        <f>A23/$L$3*$J$6</f>
        <v>8283.8491409329617</v>
      </c>
      <c r="J23" s="156">
        <f t="shared" si="1"/>
        <v>8558.6949565777923</v>
      </c>
      <c r="K23" s="156">
        <v>12500</v>
      </c>
    </row>
    <row r="24" spans="1:12" s="48" customFormat="1" ht="23.55" customHeight="1">
      <c r="A24" s="156">
        <v>1094</v>
      </c>
      <c r="B24" s="156">
        <v>935</v>
      </c>
      <c r="C24" s="44" t="s">
        <v>958</v>
      </c>
      <c r="D24" s="43"/>
      <c r="E24" s="156">
        <v>1296</v>
      </c>
      <c r="G24" s="155">
        <f t="shared" si="0"/>
        <v>1.3860962566844919</v>
      </c>
      <c r="H24" s="156">
        <f>B24/$J$5*$J$6</f>
        <v>1032.9365460265324</v>
      </c>
      <c r="I24" s="156">
        <f>A24/$L$3*$J$6</f>
        <v>1206.4072098217068</v>
      </c>
      <c r="J24" s="156">
        <f t="shared" si="1"/>
        <v>1119.6718779241196</v>
      </c>
      <c r="K24" s="156">
        <v>1800</v>
      </c>
    </row>
    <row r="25" spans="1:12" s="48" customFormat="1" ht="23.55" customHeight="1">
      <c r="A25" s="156">
        <v>686</v>
      </c>
      <c r="B25" s="156">
        <v>1200</v>
      </c>
      <c r="C25" s="44" t="s">
        <v>959</v>
      </c>
      <c r="D25" s="43"/>
      <c r="E25" s="814">
        <f>1200-200</f>
        <v>1000</v>
      </c>
      <c r="G25" s="155">
        <f t="shared" si="0"/>
        <v>0.83333333333333337</v>
      </c>
      <c r="H25" s="156">
        <f>B25/$J$5*$J$6</f>
        <v>1325.6939628148009</v>
      </c>
      <c r="I25" s="156">
        <f>A25/$L$3*$J$6</f>
        <v>756.48569098509211</v>
      </c>
      <c r="J25" s="156">
        <f t="shared" si="1"/>
        <v>1041.0898268999465</v>
      </c>
      <c r="K25" s="156">
        <v>1300</v>
      </c>
    </row>
    <row r="26" spans="1:12" s="48" customFormat="1" ht="23.55" customHeight="1">
      <c r="A26" s="25">
        <f>SUM(A27:A30)</f>
        <v>9524</v>
      </c>
      <c r="B26" s="25">
        <f>SUM(B27:B30)</f>
        <v>13978</v>
      </c>
      <c r="C26" s="86" t="s">
        <v>960</v>
      </c>
      <c r="D26" s="43"/>
      <c r="E26" s="25">
        <f>SUM(E27:E30)</f>
        <v>15379</v>
      </c>
      <c r="G26" s="155">
        <f t="shared" si="0"/>
        <v>1.1002289311775648</v>
      </c>
      <c r="H26" s="25">
        <f>SUM(H27:H30)</f>
        <v>15442.125176854408</v>
      </c>
      <c r="I26" s="25">
        <f>SUM(I27:I30)</f>
        <v>10502.579768137051</v>
      </c>
      <c r="J26" s="25">
        <f>SUM(J27:J30)</f>
        <v>12972.352472495728</v>
      </c>
      <c r="K26" s="25">
        <f>SUM(K27:K30)</f>
        <v>14729</v>
      </c>
    </row>
    <row r="27" spans="1:12" s="48" customFormat="1" ht="23.55" customHeight="1">
      <c r="A27" s="156">
        <v>2537</v>
      </c>
      <c r="B27" s="156">
        <v>4800</v>
      </c>
      <c r="C27" s="44" t="s">
        <v>961</v>
      </c>
      <c r="D27" s="43"/>
      <c r="E27" s="156">
        <v>9848</v>
      </c>
      <c r="G27" s="155">
        <f t="shared" si="0"/>
        <v>2.0516666666666667</v>
      </c>
      <c r="H27" s="156">
        <f>B27/$J$5*$J$6</f>
        <v>5302.7758512592036</v>
      </c>
      <c r="I27" s="156">
        <f>A27/$L$3*$J$6</f>
        <v>2797.6737580600275</v>
      </c>
      <c r="J27" s="156">
        <f t="shared" si="1"/>
        <v>4050.2248046596155</v>
      </c>
      <c r="K27" s="156">
        <v>7500</v>
      </c>
      <c r="L27" s="48" t="s">
        <v>962</v>
      </c>
    </row>
    <row r="28" spans="1:12" s="48" customFormat="1" ht="23.55" customHeight="1">
      <c r="A28" s="156">
        <v>6403</v>
      </c>
      <c r="B28" s="156">
        <v>8758</v>
      </c>
      <c r="C28" s="44" t="s">
        <v>963</v>
      </c>
      <c r="D28" s="44"/>
      <c r="E28" s="156">
        <v>4847</v>
      </c>
      <c r="G28" s="155">
        <f t="shared" si="0"/>
        <v>0.55343685773007534</v>
      </c>
      <c r="H28" s="156">
        <f>B28/$J$5*$J$6</f>
        <v>9675.3564386100225</v>
      </c>
      <c r="I28" s="156">
        <f>A28/$L$3*$J$6</f>
        <v>7060.900698801086</v>
      </c>
      <c r="J28" s="156">
        <f t="shared" si="1"/>
        <v>8368.1285687055533</v>
      </c>
      <c r="K28" s="156">
        <f>1219+4000</f>
        <v>5219</v>
      </c>
    </row>
    <row r="29" spans="1:12" s="48" customFormat="1" ht="23.55" customHeight="1">
      <c r="A29" s="156">
        <v>162</v>
      </c>
      <c r="B29" s="156">
        <v>160</v>
      </c>
      <c r="C29" s="44" t="s">
        <v>964</v>
      </c>
      <c r="D29" s="44"/>
      <c r="E29" s="156">
        <v>260</v>
      </c>
      <c r="G29" s="155">
        <f>E29/B29</f>
        <v>1.625</v>
      </c>
      <c r="H29" s="156">
        <f>B29/$J$5*$J$6</f>
        <v>176.75919504197344</v>
      </c>
      <c r="I29" s="156">
        <f>A29/$L$3*$J$6</f>
        <v>178.64530894983227</v>
      </c>
      <c r="J29" s="156">
        <f t="shared" si="1"/>
        <v>177.70225199590286</v>
      </c>
      <c r="K29" s="156">
        <v>1060</v>
      </c>
      <c r="L29" s="48">
        <f>180150+876669</f>
        <v>1056819</v>
      </c>
    </row>
    <row r="30" spans="1:12" s="48" customFormat="1" ht="23.55" customHeight="1">
      <c r="A30" s="156">
        <v>422</v>
      </c>
      <c r="B30" s="156">
        <v>260</v>
      </c>
      <c r="C30" s="44" t="s">
        <v>965</v>
      </c>
      <c r="D30" s="44"/>
      <c r="E30" s="156">
        <v>424</v>
      </c>
      <c r="G30" s="155">
        <f t="shared" si="0"/>
        <v>1.6307692307692307</v>
      </c>
      <c r="H30" s="156">
        <f>B30/$J$5*$J$6</f>
        <v>287.23369194320685</v>
      </c>
      <c r="I30" s="156">
        <f>A30/$L$3*$J$6</f>
        <v>465.36000232610627</v>
      </c>
      <c r="J30" s="156">
        <f t="shared" si="1"/>
        <v>376.29684713465656</v>
      </c>
      <c r="K30" s="156">
        <v>950</v>
      </c>
    </row>
    <row r="31" spans="1:12" s="48" customFormat="1" ht="23.55" customHeight="1">
      <c r="A31" s="25">
        <f>SUM(A32:A33)</f>
        <v>152</v>
      </c>
      <c r="B31" s="25">
        <f>SUM(B32:B33)</f>
        <v>143</v>
      </c>
      <c r="C31" s="86" t="s">
        <v>966</v>
      </c>
      <c r="D31" s="43"/>
      <c r="E31" s="25">
        <f>SUM(E32:E33)</f>
        <v>155</v>
      </c>
      <c r="G31" s="155">
        <f t="shared" si="0"/>
        <v>1.083916083916084</v>
      </c>
      <c r="H31" s="25">
        <f>SUM(H32:H33)</f>
        <v>157.97853056876374</v>
      </c>
      <c r="I31" s="25">
        <f>SUM(I32:I33)</f>
        <v>167.61782074305248</v>
      </c>
      <c r="J31" s="25">
        <f>SUM(J32:J33)</f>
        <v>162.7981756559081</v>
      </c>
      <c r="K31" s="25">
        <f>SUM(K32:K33)</f>
        <v>176</v>
      </c>
    </row>
    <row r="32" spans="1:12" s="48" customFormat="1" ht="23.55" customHeight="1">
      <c r="A32" s="156">
        <v>7</v>
      </c>
      <c r="B32" s="156">
        <v>11</v>
      </c>
      <c r="C32" s="44" t="s">
        <v>967</v>
      </c>
      <c r="D32" s="43"/>
      <c r="E32" s="156">
        <v>11</v>
      </c>
      <c r="G32" s="155">
        <f t="shared" si="0"/>
        <v>1</v>
      </c>
      <c r="H32" s="156">
        <f>B32/$J$5*$J$6</f>
        <v>12.152194659135674</v>
      </c>
      <c r="I32" s="156">
        <f>A32/$L$3*$J$6</f>
        <v>7.7192417447458386</v>
      </c>
      <c r="J32" s="156">
        <f t="shared" si="1"/>
        <v>9.9357182019407553</v>
      </c>
      <c r="K32" s="156">
        <v>16</v>
      </c>
    </row>
    <row r="33" spans="1:20" s="48" customFormat="1" ht="23.55" customHeight="1">
      <c r="A33" s="156">
        <v>145</v>
      </c>
      <c r="B33" s="156">
        <v>132</v>
      </c>
      <c r="C33" s="698" t="s">
        <v>968</v>
      </c>
      <c r="D33" s="43"/>
      <c r="E33" s="156">
        <v>144</v>
      </c>
      <c r="G33" s="155">
        <f t="shared" si="0"/>
        <v>1.0909090909090908</v>
      </c>
      <c r="H33" s="156">
        <f>B33/$J$5*$J$6</f>
        <v>145.82633590962809</v>
      </c>
      <c r="I33" s="156">
        <f>A33/$L$3*$J$6</f>
        <v>159.89857899830665</v>
      </c>
      <c r="J33" s="156">
        <f t="shared" si="1"/>
        <v>152.86245745396735</v>
      </c>
      <c r="K33" s="156">
        <v>160</v>
      </c>
    </row>
    <row r="34" spans="1:20" s="48" customFormat="1" ht="23.55" customHeight="1">
      <c r="A34" s="25">
        <f>SUM(A35:A38)</f>
        <v>106766</v>
      </c>
      <c r="B34" s="25">
        <f>SUM(B35:B38)</f>
        <v>115071</v>
      </c>
      <c r="C34" s="1108" t="s">
        <v>969</v>
      </c>
      <c r="D34" s="1109"/>
      <c r="E34" s="25">
        <f>SUM(E35:E38)</f>
        <v>110454</v>
      </c>
      <c r="F34" s="25">
        <f>SUM(F35:F37)</f>
        <v>0</v>
      </c>
      <c r="G34" s="155">
        <f t="shared" si="0"/>
        <v>0.9598769455379722</v>
      </c>
      <c r="H34" s="25">
        <f>SUM(H35:H38)</f>
        <v>127124.1083292183</v>
      </c>
      <c r="I34" s="25">
        <f>SUM(I35:I38)</f>
        <v>117736.08058850489</v>
      </c>
      <c r="J34" s="25">
        <f>SUM(J35:J38)</f>
        <v>122430.09445886158</v>
      </c>
      <c r="K34" s="25">
        <f>SUM(K35:K38)</f>
        <v>143375</v>
      </c>
    </row>
    <row r="35" spans="1:20" s="48" customFormat="1" ht="23.55" customHeight="1">
      <c r="A35" s="156">
        <v>5933</v>
      </c>
      <c r="B35" s="156">
        <v>6598</v>
      </c>
      <c r="C35" s="1110" t="s">
        <v>970</v>
      </c>
      <c r="D35" s="1111"/>
      <c r="E35" s="156">
        <v>5953</v>
      </c>
      <c r="G35" s="155">
        <f t="shared" si="0"/>
        <v>0.90224310397090024</v>
      </c>
      <c r="H35" s="156">
        <f>B35/$J$5*$J$6</f>
        <v>7289.1073055433799</v>
      </c>
      <c r="I35" s="156">
        <f>A35/$L$3*$J$6</f>
        <v>6542.6087530824361</v>
      </c>
      <c r="J35" s="156">
        <f t="shared" si="1"/>
        <v>6915.858029312908</v>
      </c>
      <c r="K35" s="156">
        <v>10000</v>
      </c>
    </row>
    <row r="36" spans="1:20" s="48" customFormat="1" ht="23.55" customHeight="1" thickBot="1">
      <c r="A36" s="157">
        <v>21687</v>
      </c>
      <c r="B36" s="157">
        <v>23117</v>
      </c>
      <c r="C36" s="1112" t="s">
        <v>971</v>
      </c>
      <c r="D36" s="1113"/>
      <c r="E36" s="157">
        <v>20984</v>
      </c>
      <c r="G36" s="155">
        <f t="shared" si="0"/>
        <v>0.90773024181338413</v>
      </c>
      <c r="H36" s="156">
        <f>B36/$J$5*$J$6</f>
        <v>25538.389448658127</v>
      </c>
      <c r="I36" s="156">
        <f>A36/$L$3*$J$6</f>
        <v>23915.313674043286</v>
      </c>
      <c r="J36" s="156">
        <f t="shared" si="1"/>
        <v>24726.851561350704</v>
      </c>
      <c r="K36" s="156">
        <v>30000</v>
      </c>
    </row>
    <row r="37" spans="1:20" s="48" customFormat="1" ht="23.55" customHeight="1">
      <c r="A37" s="156">
        <v>17065</v>
      </c>
      <c r="B37" s="156">
        <v>18126</v>
      </c>
      <c r="C37" s="727" t="s">
        <v>972</v>
      </c>
      <c r="D37" s="498"/>
      <c r="E37" s="156">
        <f>20724</f>
        <v>20724</v>
      </c>
      <c r="G37" s="155">
        <f t="shared" si="0"/>
        <v>1.1433300231711354</v>
      </c>
      <c r="H37" s="156">
        <f>B37/$J$5*$J$6</f>
        <v>20024.607308317569</v>
      </c>
      <c r="I37" s="156">
        <f>A37/$L$3*$J$6</f>
        <v>18818.408624869673</v>
      </c>
      <c r="J37" s="156">
        <f t="shared" si="1"/>
        <v>19421.507966593621</v>
      </c>
      <c r="K37" s="547">
        <f>7500+5650+12355+1117</f>
        <v>26622</v>
      </c>
      <c r="L37" s="545">
        <f>5168774+8374954+12355000+834283</f>
        <v>26733011</v>
      </c>
      <c r="M37" s="48" t="s">
        <v>973</v>
      </c>
      <c r="T37" s="48" t="s">
        <v>974</v>
      </c>
    </row>
    <row r="38" spans="1:20" s="48" customFormat="1" ht="23.55" customHeight="1">
      <c r="A38" s="156">
        <v>62081</v>
      </c>
      <c r="B38" s="156">
        <v>67230</v>
      </c>
      <c r="C38" s="699" t="s">
        <v>975</v>
      </c>
      <c r="D38" s="78"/>
      <c r="E38" s="156">
        <v>62793</v>
      </c>
      <c r="G38" s="155">
        <f t="shared" si="0"/>
        <v>0.93400267737617138</v>
      </c>
      <c r="H38" s="156">
        <f>B38/$J$5*$J$6</f>
        <v>74272.004266699223</v>
      </c>
      <c r="I38" s="156">
        <f>A38/$L$3*$J$6</f>
        <v>68459.749536509495</v>
      </c>
      <c r="J38" s="156">
        <f t="shared" si="1"/>
        <v>71365.876901604352</v>
      </c>
      <c r="K38" s="156">
        <v>76753</v>
      </c>
    </row>
    <row r="39" spans="1:20" s="48" customFormat="1" ht="23.55" customHeight="1">
      <c r="A39" s="25">
        <f>SUM(A40:A48)</f>
        <v>362100</v>
      </c>
      <c r="B39" s="25">
        <f>SUM(B40:B48)</f>
        <v>373497</v>
      </c>
      <c r="C39" s="86" t="s">
        <v>976</v>
      </c>
      <c r="D39" s="43"/>
      <c r="E39" s="25">
        <f>SUM(E40:E48)</f>
        <v>355955</v>
      </c>
      <c r="F39" s="25">
        <f>SUM(F47:F47)</f>
        <v>0</v>
      </c>
      <c r="G39" s="155">
        <f t="shared" si="0"/>
        <v>0.95303308995788449</v>
      </c>
      <c r="H39" s="25">
        <f>SUM(H40:H47)</f>
        <v>412618.93169119972</v>
      </c>
      <c r="I39" s="25">
        <f>SUM(I40:I47)</f>
        <v>399265.64900995098</v>
      </c>
      <c r="J39" s="25">
        <f>SUM(J40:J47)</f>
        <v>405888.25565836218</v>
      </c>
      <c r="K39" s="25">
        <f>SUM(K40:K47)</f>
        <v>482725</v>
      </c>
    </row>
    <row r="40" spans="1:20" s="48" customFormat="1" ht="23.55" customHeight="1">
      <c r="A40" s="156">
        <v>50</v>
      </c>
      <c r="B40" s="156">
        <v>99</v>
      </c>
      <c r="C40" s="43" t="s">
        <v>977</v>
      </c>
      <c r="D40" s="43"/>
      <c r="E40" s="156">
        <v>52</v>
      </c>
      <c r="F40" s="42"/>
      <c r="G40" s="155">
        <f t="shared" si="0"/>
        <v>0.5252525252525253</v>
      </c>
      <c r="H40" s="156">
        <f t="shared" ref="H40:H47" si="2">B40/$J$5*$J$6</f>
        <v>109.36975193222106</v>
      </c>
      <c r="I40" s="156">
        <f t="shared" ref="I40:I47" si="3">A40/$L$3*$J$6</f>
        <v>55.137441033898838</v>
      </c>
      <c r="J40" s="156">
        <f t="shared" si="1"/>
        <v>82.253596483059951</v>
      </c>
      <c r="K40" s="156">
        <v>200</v>
      </c>
    </row>
    <row r="41" spans="1:20" s="48" customFormat="1" ht="23.55" customHeight="1">
      <c r="A41" s="156">
        <v>151</v>
      </c>
      <c r="B41" s="156">
        <v>21</v>
      </c>
      <c r="C41" s="43" t="s">
        <v>978</v>
      </c>
      <c r="D41" s="43"/>
      <c r="E41" s="156">
        <v>20</v>
      </c>
      <c r="F41" s="42"/>
      <c r="G41" s="155" t="e">
        <f>#REF!/B41</f>
        <v>#REF!</v>
      </c>
      <c r="H41" s="156">
        <f>B41/$J$5*$J$6</f>
        <v>23.199644349259014</v>
      </c>
      <c r="I41" s="156">
        <f t="shared" si="3"/>
        <v>166.51507192237452</v>
      </c>
      <c r="J41" s="156">
        <f t="shared" si="1"/>
        <v>94.857358135816767</v>
      </c>
      <c r="K41" s="156">
        <v>0</v>
      </c>
    </row>
    <row r="42" spans="1:20" s="48" customFormat="1" ht="23.55" customHeight="1">
      <c r="A42" s="156">
        <v>98</v>
      </c>
      <c r="B42" s="156"/>
      <c r="C42" s="43" t="s">
        <v>979</v>
      </c>
      <c r="D42" s="43"/>
      <c r="E42" s="156"/>
      <c r="F42" s="42"/>
      <c r="G42" s="155"/>
      <c r="H42" s="156"/>
      <c r="I42" s="156">
        <f t="shared" si="3"/>
        <v>108.06938442644174</v>
      </c>
      <c r="J42" s="156"/>
      <c r="K42" s="156"/>
    </row>
    <row r="43" spans="1:20" s="48" customFormat="1" ht="23.55" customHeight="1">
      <c r="A43" s="156">
        <v>2006</v>
      </c>
      <c r="B43" s="156">
        <v>2852</v>
      </c>
      <c r="C43" s="43" t="s">
        <v>980</v>
      </c>
      <c r="D43" s="43"/>
      <c r="E43" s="156">
        <v>2809</v>
      </c>
      <c r="F43" s="42"/>
      <c r="G43" s="155"/>
      <c r="H43" s="156">
        <f>B43/$J$5*$J$6</f>
        <v>3150.7326516231769</v>
      </c>
      <c r="I43" s="156">
        <f>A43/$L$3*$J$6</f>
        <v>2212.1141342800215</v>
      </c>
      <c r="J43" s="156">
        <f>(H43+I43)/2</f>
        <v>2681.4233929515995</v>
      </c>
      <c r="K43" s="156">
        <f>3690+260+500</f>
        <v>4450</v>
      </c>
      <c r="L43" s="48" t="s">
        <v>981</v>
      </c>
    </row>
    <row r="44" spans="1:20" s="48" customFormat="1" ht="23.55" customHeight="1">
      <c r="A44" s="156">
        <v>2743</v>
      </c>
      <c r="B44" s="156">
        <v>600</v>
      </c>
      <c r="C44" s="43" t="s">
        <v>982</v>
      </c>
      <c r="D44" s="43"/>
      <c r="E44" s="156">
        <v>600</v>
      </c>
      <c r="F44" s="42"/>
      <c r="G44" s="155">
        <f t="shared" ref="G44:G57" si="4">E45/B44</f>
        <v>1.1483333333333334</v>
      </c>
      <c r="H44" s="156">
        <f t="shared" si="2"/>
        <v>662.84698140740045</v>
      </c>
      <c r="I44" s="156">
        <f t="shared" si="3"/>
        <v>3024.8400151196906</v>
      </c>
      <c r="J44" s="156">
        <f t="shared" si="1"/>
        <v>1843.8434982635456</v>
      </c>
      <c r="K44" s="156">
        <v>200</v>
      </c>
    </row>
    <row r="45" spans="1:20" s="48" customFormat="1" ht="23.55" customHeight="1">
      <c r="A45" s="156">
        <v>1169</v>
      </c>
      <c r="B45" s="156">
        <v>1132</v>
      </c>
      <c r="C45" s="43" t="s">
        <v>983</v>
      </c>
      <c r="D45" s="43"/>
      <c r="E45" s="814">
        <f>1689-1000</f>
        <v>689</v>
      </c>
      <c r="F45" s="42"/>
      <c r="G45" s="155">
        <f t="shared" si="4"/>
        <v>293.38250883392226</v>
      </c>
      <c r="H45" s="156">
        <f t="shared" si="2"/>
        <v>1250.5713049219621</v>
      </c>
      <c r="I45" s="156">
        <f t="shared" si="3"/>
        <v>1289.1133713725549</v>
      </c>
      <c r="J45" s="156">
        <f t="shared" si="1"/>
        <v>1269.8423381472585</v>
      </c>
      <c r="K45" s="156">
        <f>479248-7937</f>
        <v>471311</v>
      </c>
      <c r="L45" s="546">
        <f>L6-K94</f>
        <v>4350</v>
      </c>
    </row>
    <row r="46" spans="1:20" s="51" customFormat="1" ht="23.55" customHeight="1">
      <c r="A46" s="156">
        <v>343529</v>
      </c>
      <c r="B46" s="156">
        <v>352043</v>
      </c>
      <c r="C46" s="43" t="s">
        <v>984</v>
      </c>
      <c r="D46" s="43"/>
      <c r="E46" s="156">
        <f>332585-476</f>
        <v>332109</v>
      </c>
      <c r="G46" s="155">
        <f t="shared" si="4"/>
        <v>5.58908996912309E-2</v>
      </c>
      <c r="H46" s="156">
        <f>B46/$J$5*$J$6</f>
        <v>388917.73312600912</v>
      </c>
      <c r="I46" s="156">
        <f t="shared" si="3"/>
        <v>378826.19961868471</v>
      </c>
      <c r="J46" s="156">
        <f t="shared" si="1"/>
        <v>383871.96637234691</v>
      </c>
      <c r="K46" s="156">
        <f>6364</f>
        <v>6364</v>
      </c>
    </row>
    <row r="47" spans="1:20" s="51" customFormat="1" ht="23.55" customHeight="1">
      <c r="A47" s="156">
        <v>12318</v>
      </c>
      <c r="B47" s="156">
        <v>16750</v>
      </c>
      <c r="C47" s="43" t="s">
        <v>985</v>
      </c>
      <c r="D47" s="43"/>
      <c r="E47" s="156">
        <v>19676</v>
      </c>
      <c r="G47" s="155">
        <f t="shared" si="4"/>
        <v>0</v>
      </c>
      <c r="H47" s="156">
        <f t="shared" si="2"/>
        <v>18504.478230956596</v>
      </c>
      <c r="I47" s="156">
        <f t="shared" si="3"/>
        <v>13583.65997311132</v>
      </c>
      <c r="J47" s="156">
        <f t="shared" si="1"/>
        <v>16044.069102033958</v>
      </c>
      <c r="K47" s="156">
        <v>200</v>
      </c>
      <c r="L47" s="51" t="s">
        <v>986</v>
      </c>
    </row>
    <row r="48" spans="1:20" s="51" customFormat="1" ht="23.55" customHeight="1">
      <c r="A48" s="156">
        <v>36</v>
      </c>
      <c r="B48" s="156">
        <v>0</v>
      </c>
      <c r="C48" s="43" t="s">
        <v>987</v>
      </c>
      <c r="D48" s="43"/>
      <c r="E48" s="156">
        <v>0</v>
      </c>
      <c r="G48" s="155" t="e">
        <f t="shared" si="4"/>
        <v>#DIV/0!</v>
      </c>
      <c r="H48" s="115">
        <f>SUM(H49)</f>
        <v>331.42349070370022</v>
      </c>
      <c r="I48" s="115">
        <f>SUM(I49)</f>
        <v>320.89990681729125</v>
      </c>
      <c r="J48" s="115">
        <f>SUM(J49)</f>
        <v>326.16169876049571</v>
      </c>
      <c r="K48" s="115">
        <f>SUM(K49)</f>
        <v>500</v>
      </c>
    </row>
    <row r="49" spans="1:12" s="51" customFormat="1" ht="23.55" customHeight="1">
      <c r="A49" s="25">
        <f>SUM(A50)</f>
        <v>291</v>
      </c>
      <c r="B49" s="115">
        <f>SUM(B50)</f>
        <v>300</v>
      </c>
      <c r="C49" s="86" t="s">
        <v>988</v>
      </c>
      <c r="D49" s="43"/>
      <c r="E49" s="115">
        <f>SUM(E50)</f>
        <v>300</v>
      </c>
      <c r="G49" s="155">
        <f t="shared" si="4"/>
        <v>1</v>
      </c>
      <c r="H49" s="156">
        <f>B49/$J$5*$J$6</f>
        <v>331.42349070370022</v>
      </c>
      <c r="I49" s="156">
        <f>A49/$L$3*$J$6</f>
        <v>320.89990681729125</v>
      </c>
      <c r="J49" s="156">
        <f t="shared" si="1"/>
        <v>326.16169876049571</v>
      </c>
      <c r="K49" s="156">
        <v>500</v>
      </c>
    </row>
    <row r="50" spans="1:12" s="51" customFormat="1" ht="23.55" customHeight="1">
      <c r="A50" s="156">
        <v>291</v>
      </c>
      <c r="B50" s="156">
        <f>500-200</f>
        <v>300</v>
      </c>
      <c r="C50" s="43" t="s">
        <v>989</v>
      </c>
      <c r="D50" s="43"/>
      <c r="E50" s="156">
        <v>300</v>
      </c>
      <c r="F50" s="25">
        <f>F54</f>
        <v>0</v>
      </c>
      <c r="G50" s="155">
        <f t="shared" si="4"/>
        <v>92.073333333333338</v>
      </c>
      <c r="H50" s="25">
        <f>SUM(H51,H54)</f>
        <v>57980.330208674328</v>
      </c>
      <c r="I50" s="25">
        <f>SUM(I51,I54)</f>
        <v>48324.658819750301</v>
      </c>
      <c r="J50" s="25">
        <f>SUM(J51,J54)</f>
        <v>53152.494514212311</v>
      </c>
      <c r="K50" s="25">
        <f>SUM(K51,K54)</f>
        <v>32250</v>
      </c>
    </row>
    <row r="51" spans="1:12" s="51" customFormat="1" ht="23.55" customHeight="1">
      <c r="A51" s="25">
        <f>A52+A55</f>
        <v>22603</v>
      </c>
      <c r="B51" s="25">
        <f>B52+B55</f>
        <v>28077</v>
      </c>
      <c r="C51" s="1094" t="s">
        <v>990</v>
      </c>
      <c r="D51" s="1095"/>
      <c r="E51" s="25">
        <f>E52+E55</f>
        <v>27622</v>
      </c>
      <c r="F51" s="25"/>
      <c r="G51" s="155">
        <f t="shared" si="4"/>
        <v>3.8073868290771806E-2</v>
      </c>
      <c r="H51" s="25">
        <f>SUM(H52:H53)</f>
        <v>1672.5838830846737</v>
      </c>
      <c r="I51" s="25">
        <f>SUM(I52:I53)</f>
        <v>1544.9510977698455</v>
      </c>
      <c r="J51" s="25">
        <f>SUM(J52:J53)</f>
        <v>1608.7674904272599</v>
      </c>
      <c r="K51" s="25">
        <f>SUM(K52:K53)</f>
        <v>1500</v>
      </c>
    </row>
    <row r="52" spans="1:12" s="51" customFormat="1" ht="23.55" customHeight="1">
      <c r="A52" s="115">
        <f>SUM(A53:A54)</f>
        <v>1166</v>
      </c>
      <c r="B52" s="25">
        <f>SUM(B53:B54)</f>
        <v>1364</v>
      </c>
      <c r="C52" s="734" t="s">
        <v>991</v>
      </c>
      <c r="D52" s="733"/>
      <c r="E52" s="25">
        <f>SUM(E53:E54)</f>
        <v>1069</v>
      </c>
      <c r="F52" s="25"/>
      <c r="G52" s="155">
        <f t="shared" si="4"/>
        <v>0.14956011730205279</v>
      </c>
      <c r="H52" s="156">
        <f>B52/$J$5*$J$6</f>
        <v>1506.8721377328236</v>
      </c>
      <c r="I52" s="156">
        <f>A52/$L$3*$J$6</f>
        <v>1285.805124910521</v>
      </c>
      <c r="J52" s="156">
        <f>(H52+I52)/2</f>
        <v>1396.3386313216724</v>
      </c>
      <c r="K52" s="156">
        <v>200</v>
      </c>
    </row>
    <row r="53" spans="1:12" s="51" customFormat="1" ht="23.55" customHeight="1">
      <c r="A53" s="156">
        <v>235</v>
      </c>
      <c r="B53" s="156">
        <v>150</v>
      </c>
      <c r="C53" s="735" t="s">
        <v>992</v>
      </c>
      <c r="D53" s="733"/>
      <c r="E53" s="156">
        <v>204</v>
      </c>
      <c r="F53" s="25"/>
      <c r="G53" s="155">
        <f t="shared" si="4"/>
        <v>5.7666666666666666</v>
      </c>
      <c r="H53" s="156">
        <f>B53/$J$5*$J$6</f>
        <v>165.71174535185011</v>
      </c>
      <c r="I53" s="156">
        <f>A53/$L$3*$J$6</f>
        <v>259.14597285932456</v>
      </c>
      <c r="J53" s="156">
        <f>(H53+I53)/2</f>
        <v>212.42885910558732</v>
      </c>
      <c r="K53" s="156">
        <v>1300</v>
      </c>
    </row>
    <row r="54" spans="1:12" s="51" customFormat="1" ht="23.55" customHeight="1">
      <c r="A54" s="156">
        <v>931</v>
      </c>
      <c r="B54" s="156">
        <v>1214</v>
      </c>
      <c r="C54" s="735" t="s">
        <v>993</v>
      </c>
      <c r="D54" s="733"/>
      <c r="E54" s="156">
        <v>865</v>
      </c>
      <c r="F54" s="25">
        <f>F57</f>
        <v>0</v>
      </c>
      <c r="G54" s="155">
        <f t="shared" si="4"/>
        <v>21.872322899505765</v>
      </c>
      <c r="H54" s="25">
        <f>SUM(H55:H59)</f>
        <v>56307.746325589651</v>
      </c>
      <c r="I54" s="25">
        <f>SUM(I55:I59)</f>
        <v>46779.707721980456</v>
      </c>
      <c r="J54" s="25">
        <f>SUM(J55:J59)</f>
        <v>51543.727023785053</v>
      </c>
      <c r="K54" s="25">
        <f>SUM(K55:K59)</f>
        <v>30750</v>
      </c>
    </row>
    <row r="55" spans="1:12" s="51" customFormat="1" ht="23.55" customHeight="1">
      <c r="A55" s="115">
        <f>SUM(A56:A60)</f>
        <v>21437</v>
      </c>
      <c r="B55" s="25">
        <f>SUM(B56:B60)</f>
        <v>26713</v>
      </c>
      <c r="C55" s="1108" t="s">
        <v>994</v>
      </c>
      <c r="D55" s="1109"/>
      <c r="E55" s="25">
        <f>SUM(E56:E60)</f>
        <v>26553</v>
      </c>
      <c r="F55" s="42"/>
      <c r="G55" s="155">
        <f t="shared" si="4"/>
        <v>0.44648672930782762</v>
      </c>
      <c r="H55" s="156">
        <f>B55/$J$5*$J$6</f>
        <v>29511.052357226479</v>
      </c>
      <c r="I55" s="156">
        <f>A55/$L$3*$J$6</f>
        <v>23639.62646887379</v>
      </c>
      <c r="J55" s="156">
        <f>(H55+I55)/2</f>
        <v>26575.339413050133</v>
      </c>
      <c r="K55" s="156">
        <v>15000</v>
      </c>
      <c r="L55" s="51">
        <f>91250+13640882</f>
        <v>13732132</v>
      </c>
    </row>
    <row r="56" spans="1:12" s="51" customFormat="1" ht="23.55" customHeight="1">
      <c r="A56" s="156">
        <v>9633</v>
      </c>
      <c r="B56" s="156">
        <v>12381</v>
      </c>
      <c r="C56" s="737" t="s">
        <v>995</v>
      </c>
      <c r="D56" s="736"/>
      <c r="E56" s="156">
        <v>11927</v>
      </c>
      <c r="F56" s="42"/>
      <c r="G56" s="155">
        <f t="shared" si="4"/>
        <v>6.8976657782085449E-2</v>
      </c>
      <c r="H56" s="156">
        <f>B56/$J$5*$J$6</f>
        <v>13677.847461341707</v>
      </c>
      <c r="I56" s="156">
        <f>A56/$L$3*$J$6</f>
        <v>10622.779389590951</v>
      </c>
      <c r="J56" s="156">
        <f>(H56+I56)/2</f>
        <v>12150.313425466329</v>
      </c>
      <c r="K56" s="156">
        <v>950</v>
      </c>
    </row>
    <row r="57" spans="1:12" s="51" customFormat="1" ht="23.55" customHeight="1">
      <c r="A57" s="156">
        <v>749</v>
      </c>
      <c r="B57" s="156">
        <v>767</v>
      </c>
      <c r="C57" s="735" t="s">
        <v>996</v>
      </c>
      <c r="D57" s="736"/>
      <c r="E57" s="156">
        <v>854</v>
      </c>
      <c r="G57" s="155">
        <f t="shared" si="4"/>
        <v>14.734028683181226</v>
      </c>
      <c r="H57" s="156">
        <f>B57/$J$5*$J$6</f>
        <v>847.33939123246023</v>
      </c>
      <c r="I57" s="156">
        <f>A57/$L$3*$J$6</f>
        <v>825.95886668780474</v>
      </c>
      <c r="J57" s="156">
        <f>(H57+I57)/2</f>
        <v>836.64912896013243</v>
      </c>
      <c r="K57" s="156">
        <v>13500</v>
      </c>
      <c r="L57" s="51">
        <f>480+12626658</f>
        <v>12627138</v>
      </c>
    </row>
    <row r="58" spans="1:12" s="51" customFormat="1" ht="23.55" customHeight="1">
      <c r="A58" s="156">
        <v>10583</v>
      </c>
      <c r="B58" s="156">
        <v>11090</v>
      </c>
      <c r="C58" s="44" t="s">
        <v>997</v>
      </c>
      <c r="D58" s="43"/>
      <c r="E58" s="156">
        <v>11301</v>
      </c>
      <c r="G58" s="155"/>
      <c r="H58" s="156">
        <f>B58/$J$5*$J$6</f>
        <v>12251.621706346785</v>
      </c>
      <c r="I58" s="156">
        <f>A58/$L$3*$J$6</f>
        <v>11670.390769235029</v>
      </c>
      <c r="J58" s="156">
        <f>(H58+I58)/2</f>
        <v>11961.006237790907</v>
      </c>
      <c r="K58" s="156">
        <v>50</v>
      </c>
    </row>
    <row r="59" spans="1:12" s="51" customFormat="1" ht="23.55" customHeight="1">
      <c r="A59" s="156">
        <v>19</v>
      </c>
      <c r="B59" s="156">
        <v>18</v>
      </c>
      <c r="C59" s="44" t="s">
        <v>998</v>
      </c>
      <c r="D59" s="43"/>
      <c r="E59" s="156">
        <v>20</v>
      </c>
      <c r="G59" s="155">
        <f t="shared" ref="G59:G81" si="5">E60/B59</f>
        <v>136.16666666666666</v>
      </c>
      <c r="H59" s="156">
        <f>B59/$J$5*$J$6</f>
        <v>19.885409442222013</v>
      </c>
      <c r="I59" s="156">
        <f>A59/$L$3*$J$6</f>
        <v>20.95222759288156</v>
      </c>
      <c r="J59" s="156">
        <f>(H59+I59)/2</f>
        <v>20.418818517551784</v>
      </c>
      <c r="K59" s="156">
        <v>1250</v>
      </c>
    </row>
    <row r="60" spans="1:12" s="51" customFormat="1" ht="23.55" customHeight="1">
      <c r="A60" s="156">
        <v>453</v>
      </c>
      <c r="B60" s="156">
        <v>2457</v>
      </c>
      <c r="C60" s="698" t="s">
        <v>987</v>
      </c>
      <c r="D60" s="43"/>
      <c r="E60" s="156">
        <v>2451</v>
      </c>
      <c r="F60" s="25" t="e">
        <f>#REF!+F67+#REF!</f>
        <v>#REF!</v>
      </c>
      <c r="G60" s="155">
        <f t="shared" si="5"/>
        <v>6.1733821733821737</v>
      </c>
      <c r="H60" s="25">
        <f>SUM(H61,H63,H65,H67,H69)</f>
        <v>24316.541512930489</v>
      </c>
      <c r="I60" s="25">
        <f>SUM(I61,I63,I65,I67,I69)</f>
        <v>19501.010144869342</v>
      </c>
      <c r="J60" s="25">
        <f>SUM(J61,J63,J65,J67,J69)</f>
        <v>21908.775828899914</v>
      </c>
      <c r="K60" s="25">
        <f>SUM(K61,K63,K65,K67,K69)</f>
        <v>8555</v>
      </c>
    </row>
    <row r="61" spans="1:12" s="51" customFormat="1" ht="23.55" customHeight="1">
      <c r="A61" s="25">
        <f>A62+A64+A66+A69+A71+1</f>
        <v>17506</v>
      </c>
      <c r="B61" s="25">
        <f>B62+B64+B66+B69+B71</f>
        <v>21511</v>
      </c>
      <c r="C61" s="1094" t="s">
        <v>999</v>
      </c>
      <c r="D61" s="1095"/>
      <c r="E61" s="25">
        <f>E62+E64+E66+E69+E71</f>
        <v>15168</v>
      </c>
      <c r="F61" s="25"/>
      <c r="G61" s="155">
        <f t="shared" si="5"/>
        <v>0</v>
      </c>
      <c r="H61" s="25">
        <f>SUM(H62)</f>
        <v>0</v>
      </c>
      <c r="I61" s="25">
        <f>SUM(I62)</f>
        <v>0</v>
      </c>
      <c r="J61" s="25">
        <f>SUM(J62)</f>
        <v>0</v>
      </c>
      <c r="K61" s="25">
        <f>SUM(K62)</f>
        <v>0</v>
      </c>
    </row>
    <row r="62" spans="1:12" s="51" customFormat="1" ht="23.55" hidden="1" customHeight="1">
      <c r="A62" s="115">
        <f>SUM(A63)</f>
        <v>0</v>
      </c>
      <c r="B62" s="25">
        <f>SUM(B63)</f>
        <v>0</v>
      </c>
      <c r="C62" s="86" t="s">
        <v>1000</v>
      </c>
      <c r="D62" s="240"/>
      <c r="E62" s="25">
        <f>SUM(E63)</f>
        <v>0</v>
      </c>
      <c r="F62" s="25"/>
      <c r="G62" s="155" t="e">
        <f t="shared" si="5"/>
        <v>#DIV/0!</v>
      </c>
      <c r="H62" s="156">
        <f>B62/$J$5*$J$6</f>
        <v>0</v>
      </c>
      <c r="I62" s="156">
        <f>A62/$L$3*$J$6</f>
        <v>0</v>
      </c>
      <c r="J62" s="156">
        <f>(H62+I62)/2</f>
        <v>0</v>
      </c>
      <c r="K62" s="156">
        <v>0</v>
      </c>
    </row>
    <row r="63" spans="1:12" s="51" customFormat="1" ht="23.55" hidden="1" customHeight="1" thickBot="1">
      <c r="A63" s="156"/>
      <c r="B63" s="156">
        <v>0</v>
      </c>
      <c r="C63" s="44" t="s">
        <v>1001</v>
      </c>
      <c r="D63" s="240"/>
      <c r="E63" s="156">
        <v>0</v>
      </c>
      <c r="F63" s="25"/>
      <c r="G63" s="155" t="e">
        <f t="shared" si="5"/>
        <v>#DIV/0!</v>
      </c>
      <c r="H63" s="495">
        <f>SUM(H64)</f>
        <v>1963.1318099349176</v>
      </c>
      <c r="I63" s="495">
        <f>SUM(I64)</f>
        <v>2042.2908158956134</v>
      </c>
      <c r="J63" s="495">
        <f>SUM(J64)</f>
        <v>2002.7113129152654</v>
      </c>
      <c r="K63" s="495">
        <f>SUM(K64)</f>
        <v>1055</v>
      </c>
    </row>
    <row r="64" spans="1:12" s="51" customFormat="1" ht="23.55" customHeight="1">
      <c r="A64" s="115">
        <f>SUM(A65)</f>
        <v>1852</v>
      </c>
      <c r="B64" s="25">
        <f>SUM(B65)</f>
        <v>1777</v>
      </c>
      <c r="C64" s="86" t="s">
        <v>1002</v>
      </c>
      <c r="D64" s="240"/>
      <c r="E64" s="25">
        <f>SUM(E65)</f>
        <v>1833</v>
      </c>
      <c r="F64" s="25"/>
      <c r="G64" s="155">
        <f t="shared" si="5"/>
        <v>1.0315137872819358</v>
      </c>
      <c r="H64" s="156">
        <f>B64/$J$5*$J$6</f>
        <v>1963.1318099349176</v>
      </c>
      <c r="I64" s="156">
        <f>A64/$L$3*$J$6</f>
        <v>2042.2908158956134</v>
      </c>
      <c r="J64" s="156">
        <f>(H64+I64)/2</f>
        <v>2002.7113129152654</v>
      </c>
      <c r="K64" s="156">
        <v>1055</v>
      </c>
    </row>
    <row r="65" spans="1:13" s="51" customFormat="1" ht="31.5" customHeight="1">
      <c r="A65" s="156">
        <v>1852</v>
      </c>
      <c r="B65" s="156">
        <v>1777</v>
      </c>
      <c r="C65" s="44" t="s">
        <v>1003</v>
      </c>
      <c r="D65" s="240"/>
      <c r="E65" s="156">
        <v>1833</v>
      </c>
      <c r="F65" s="25"/>
      <c r="G65" s="155">
        <f t="shared" si="5"/>
        <v>4.7788407428249862</v>
      </c>
      <c r="H65" s="25">
        <f>SUM(H66:H66)</f>
        <v>16473.956977911927</v>
      </c>
      <c r="I65" s="25">
        <f>SUM(I66:I66)</f>
        <v>11879.913045163845</v>
      </c>
      <c r="J65" s="25">
        <f>SUM(J66:J66)</f>
        <v>14176.935011537886</v>
      </c>
      <c r="K65" s="25">
        <f>SUM(K66:K66)</f>
        <v>3300</v>
      </c>
    </row>
    <row r="66" spans="1:13" s="51" customFormat="1" ht="23.55" customHeight="1" thickBot="1">
      <c r="A66" s="569">
        <f>SUM(A67:A68)</f>
        <v>10773</v>
      </c>
      <c r="B66" s="569">
        <f>SUM(B67:B68)</f>
        <v>14912</v>
      </c>
      <c r="C66" s="700" t="s">
        <v>1004</v>
      </c>
      <c r="D66" s="573"/>
      <c r="E66" s="569">
        <f>SUM(E67:E68)</f>
        <v>8492</v>
      </c>
      <c r="F66" s="25"/>
      <c r="G66" s="155" t="e">
        <f>#REF!/B66</f>
        <v>#REF!</v>
      </c>
      <c r="H66" s="156">
        <f>B66/$J$5*$J$6</f>
        <v>16473.956977911927</v>
      </c>
      <c r="I66" s="156">
        <f>A66/$L$3*$J$6</f>
        <v>11879.913045163845</v>
      </c>
      <c r="J66" s="156">
        <f>(H66+I66)/2</f>
        <v>14176.935011537886</v>
      </c>
      <c r="K66" s="156">
        <v>3300</v>
      </c>
    </row>
    <row r="67" spans="1:13" s="51" customFormat="1" ht="23.55" customHeight="1">
      <c r="A67" s="570">
        <v>10496</v>
      </c>
      <c r="B67" s="156">
        <v>14342</v>
      </c>
      <c r="C67" s="44" t="s">
        <v>861</v>
      </c>
      <c r="D67" s="240"/>
      <c r="E67" s="156">
        <v>8196</v>
      </c>
      <c r="F67" s="25">
        <f>F68</f>
        <v>0</v>
      </c>
      <c r="G67" s="155">
        <f t="shared" si="5"/>
        <v>2.0638683586668528E-2</v>
      </c>
      <c r="H67" s="100">
        <f>H68</f>
        <v>629.70463233703038</v>
      </c>
      <c r="I67" s="100">
        <f>I68</f>
        <v>305.46142332779959</v>
      </c>
      <c r="J67" s="100">
        <f>J68</f>
        <v>467.58302783241498</v>
      </c>
      <c r="K67" s="100">
        <f>K68</f>
        <v>3900</v>
      </c>
    </row>
    <row r="68" spans="1:13" s="51" customFormat="1" ht="23.55" customHeight="1">
      <c r="A68" s="156">
        <v>277</v>
      </c>
      <c r="B68" s="156">
        <v>570</v>
      </c>
      <c r="C68" s="44" t="s">
        <v>1005</v>
      </c>
      <c r="D68" s="240"/>
      <c r="E68" s="156">
        <v>296</v>
      </c>
      <c r="G68" s="155">
        <f t="shared" si="5"/>
        <v>8.3210526315789473</v>
      </c>
      <c r="H68" s="156">
        <f>B68/$J$5*$J$6</f>
        <v>629.70463233703038</v>
      </c>
      <c r="I68" s="156">
        <f>A68/$L$3*$J$6</f>
        <v>305.46142332779959</v>
      </c>
      <c r="J68" s="156">
        <f>(H68+I68)/2</f>
        <v>467.58302783241498</v>
      </c>
      <c r="K68" s="156">
        <v>3900</v>
      </c>
    </row>
    <row r="69" spans="1:13" s="51" customFormat="1" ht="23.55" customHeight="1">
      <c r="A69" s="100">
        <f>A70</f>
        <v>4782</v>
      </c>
      <c r="B69" s="25">
        <f>B70</f>
        <v>4752</v>
      </c>
      <c r="C69" s="86" t="s">
        <v>1006</v>
      </c>
      <c r="D69" s="240"/>
      <c r="E69" s="25">
        <f>E70</f>
        <v>4743</v>
      </c>
      <c r="F69" s="25">
        <f>F70</f>
        <v>0</v>
      </c>
      <c r="G69" s="155">
        <f t="shared" si="5"/>
        <v>0.99810606060606055</v>
      </c>
      <c r="H69" s="25">
        <f>H70</f>
        <v>5249.7480927466113</v>
      </c>
      <c r="I69" s="25">
        <f>I70</f>
        <v>5273.344860482086</v>
      </c>
      <c r="J69" s="25">
        <f>J70</f>
        <v>5261.5464766143486</v>
      </c>
      <c r="K69" s="25">
        <f>K70</f>
        <v>300</v>
      </c>
    </row>
    <row r="70" spans="1:13" s="51" customFormat="1" ht="23.55" customHeight="1">
      <c r="A70" s="156">
        <v>4782</v>
      </c>
      <c r="B70" s="156">
        <v>4752</v>
      </c>
      <c r="C70" s="44" t="s">
        <v>1007</v>
      </c>
      <c r="D70" s="240"/>
      <c r="E70" s="156">
        <v>4743</v>
      </c>
      <c r="G70" s="155">
        <f t="shared" si="5"/>
        <v>2.1043771043771045E-2</v>
      </c>
      <c r="H70" s="156">
        <f>B70/$J$5*$J$6</f>
        <v>5249.7480927466113</v>
      </c>
      <c r="I70" s="156">
        <f>A70/$L$3*$J$6</f>
        <v>5273.344860482086</v>
      </c>
      <c r="J70" s="156">
        <f>(H70+I70)/2</f>
        <v>5261.5464766143486</v>
      </c>
      <c r="K70" s="156">
        <v>300</v>
      </c>
    </row>
    <row r="71" spans="1:13" s="51" customFormat="1" ht="23.55" customHeight="1">
      <c r="A71" s="25">
        <f>SUM(A72)</f>
        <v>98</v>
      </c>
      <c r="B71" s="25">
        <f>SUM(B72)</f>
        <v>70</v>
      </c>
      <c r="C71" s="86" t="s">
        <v>1008</v>
      </c>
      <c r="D71" s="240"/>
      <c r="E71" s="25">
        <f>SUM(E72)</f>
        <v>100</v>
      </c>
      <c r="F71" s="25">
        <f>SUM(F78,F76,F72)</f>
        <v>0</v>
      </c>
      <c r="G71" s="155">
        <f t="shared" si="5"/>
        <v>1.4285714285714286</v>
      </c>
      <c r="H71" s="25">
        <f>SUM(H72,H74,H76,H78)</f>
        <v>68715.137072567159</v>
      </c>
      <c r="I71" s="25">
        <f>SUM(I72,I74,I76,I78)</f>
        <v>50497.073996485924</v>
      </c>
      <c r="J71" s="25">
        <f>SUM(J72,J74,J76,J78)</f>
        <v>59606.105534526549</v>
      </c>
      <c r="K71" s="25">
        <f>SUM(K72,K74,K76,K78)</f>
        <v>40895</v>
      </c>
    </row>
    <row r="72" spans="1:13" s="51" customFormat="1" ht="23.55" customHeight="1">
      <c r="A72" s="156">
        <v>98</v>
      </c>
      <c r="B72" s="156">
        <v>70</v>
      </c>
      <c r="C72" s="44" t="s">
        <v>1009</v>
      </c>
      <c r="D72" s="240"/>
      <c r="E72" s="156">
        <v>100</v>
      </c>
      <c r="F72" s="25">
        <f>F73</f>
        <v>0</v>
      </c>
      <c r="G72" s="155">
        <f t="shared" si="5"/>
        <v>605.08571428571429</v>
      </c>
      <c r="H72" s="115">
        <f>H73</f>
        <v>47062.135679925428</v>
      </c>
      <c r="I72" s="115">
        <f>I73</f>
        <v>33329.480356171174</v>
      </c>
      <c r="J72" s="115">
        <f>J73</f>
        <v>40195.808018048301</v>
      </c>
      <c r="K72" s="115">
        <f>K73</f>
        <v>19338</v>
      </c>
    </row>
    <row r="73" spans="1:13" s="51" customFormat="1" ht="23.55" customHeight="1">
      <c r="A73" s="115">
        <f>A74+A76+A78+A80</f>
        <v>30224</v>
      </c>
      <c r="B73" s="115">
        <f>B74+B76+B78+B80</f>
        <v>42600</v>
      </c>
      <c r="C73" s="54" t="s">
        <v>1010</v>
      </c>
      <c r="D73" s="43"/>
      <c r="E73" s="115">
        <f>E74+E76+E78+E80</f>
        <v>42356</v>
      </c>
      <c r="G73" s="155">
        <f t="shared" si="5"/>
        <v>0.41410798122065728</v>
      </c>
      <c r="H73" s="156">
        <f>B73/$J$5*$J$6</f>
        <v>47062.135679925428</v>
      </c>
      <c r="I73" s="156">
        <f>A73/$L$3*$J$6</f>
        <v>33329.480356171174</v>
      </c>
      <c r="J73" s="156">
        <f>(H73+I73)/2</f>
        <v>40195.808018048301</v>
      </c>
      <c r="K73" s="156">
        <v>19338</v>
      </c>
      <c r="M73" s="51">
        <f>1611500*12</f>
        <v>19338000</v>
      </c>
    </row>
    <row r="74" spans="1:13" s="51" customFormat="1" ht="23.55" customHeight="1">
      <c r="A74" s="115">
        <f>A75</f>
        <v>13635</v>
      </c>
      <c r="B74" s="115">
        <f>B75</f>
        <v>16380</v>
      </c>
      <c r="C74" s="86" t="s">
        <v>1011</v>
      </c>
      <c r="D74" s="43"/>
      <c r="E74" s="115">
        <f>E75</f>
        <v>17641</v>
      </c>
      <c r="G74" s="155">
        <f t="shared" si="5"/>
        <v>1.0769841269841269</v>
      </c>
      <c r="H74" s="115">
        <f>H75</f>
        <v>18095.722592422029</v>
      </c>
      <c r="I74" s="115">
        <f>I75</f>
        <v>15035.980169944214</v>
      </c>
      <c r="J74" s="486">
        <f>J75</f>
        <v>16565.851381183122</v>
      </c>
      <c r="K74" s="115">
        <f>K75</f>
        <v>2196</v>
      </c>
    </row>
    <row r="75" spans="1:13" s="51" customFormat="1" ht="23.55" customHeight="1">
      <c r="A75" s="156">
        <v>13635</v>
      </c>
      <c r="B75" s="115">
        <v>16380</v>
      </c>
      <c r="C75" s="44" t="s">
        <v>1012</v>
      </c>
      <c r="D75" s="43"/>
      <c r="E75" s="156">
        <v>17641</v>
      </c>
      <c r="G75" s="155">
        <f t="shared" si="5"/>
        <v>6.7094017094017092E-2</v>
      </c>
      <c r="H75" s="156">
        <f>B75/$J$5*$J$6</f>
        <v>18095.722592422029</v>
      </c>
      <c r="I75" s="156">
        <f>A75/$L$3*$J$6</f>
        <v>15035.980169944214</v>
      </c>
      <c r="J75" s="156">
        <f>(H75+I75)/2</f>
        <v>16565.851381183122</v>
      </c>
      <c r="K75" s="156">
        <v>2196</v>
      </c>
      <c r="L75" s="51">
        <f>273654+949173</f>
        <v>1222827</v>
      </c>
      <c r="M75" s="51">
        <f>183000*12</f>
        <v>2196000</v>
      </c>
    </row>
    <row r="76" spans="1:13" s="51" customFormat="1" ht="23.55" customHeight="1">
      <c r="A76" s="115">
        <f>A77</f>
        <v>986</v>
      </c>
      <c r="B76" s="115">
        <f>B77</f>
        <v>1020</v>
      </c>
      <c r="C76" s="86" t="s">
        <v>1013</v>
      </c>
      <c r="D76" s="43"/>
      <c r="E76" s="115">
        <v>1099</v>
      </c>
      <c r="F76" s="25">
        <f>F77</f>
        <v>0</v>
      </c>
      <c r="G76" s="155">
        <f t="shared" si="5"/>
        <v>1.0774509803921568</v>
      </c>
      <c r="H76" s="115">
        <f>H77</f>
        <v>1126.8398683925807</v>
      </c>
      <c r="I76" s="115">
        <f>I77</f>
        <v>1087.3103371884852</v>
      </c>
      <c r="J76" s="486">
        <f>J77</f>
        <v>1107.075102790533</v>
      </c>
      <c r="K76" s="115">
        <f>K77</f>
        <v>3848</v>
      </c>
    </row>
    <row r="77" spans="1:13" s="51" customFormat="1" ht="23.55" customHeight="1">
      <c r="A77" s="156">
        <v>986</v>
      </c>
      <c r="B77" s="115">
        <v>1020</v>
      </c>
      <c r="C77" s="44" t="s">
        <v>1014</v>
      </c>
      <c r="D77" s="43"/>
      <c r="E77" s="156">
        <v>1099</v>
      </c>
      <c r="G77" s="155">
        <f t="shared" si="5"/>
        <v>2.3225490196078433</v>
      </c>
      <c r="H77" s="156">
        <f>B77/$J$5*$J$6</f>
        <v>1126.8398683925807</v>
      </c>
      <c r="I77" s="156">
        <f>A77/$L$3*$J$6</f>
        <v>1087.3103371884852</v>
      </c>
      <c r="J77" s="156">
        <f>(H77+I77)/2</f>
        <v>1107.075102790533</v>
      </c>
      <c r="K77" s="156">
        <v>3848</v>
      </c>
      <c r="L77" s="51">
        <f>3682115+23504</f>
        <v>3705619</v>
      </c>
      <c r="M77" s="51">
        <f>320665*12</f>
        <v>3847980</v>
      </c>
    </row>
    <row r="78" spans="1:13" s="51" customFormat="1" ht="23.55" customHeight="1">
      <c r="A78" s="115">
        <f>A79</f>
        <v>947</v>
      </c>
      <c r="B78" s="115">
        <f>B79</f>
        <v>2200</v>
      </c>
      <c r="C78" s="86" t="s">
        <v>1015</v>
      </c>
      <c r="D78" s="43"/>
      <c r="E78" s="115">
        <f>E79</f>
        <v>2369</v>
      </c>
      <c r="F78" s="25">
        <f>F79</f>
        <v>0</v>
      </c>
      <c r="G78" s="155">
        <f t="shared" si="5"/>
        <v>1.0768181818181819</v>
      </c>
      <c r="H78" s="115">
        <f>H79</f>
        <v>2430.4389318271346</v>
      </c>
      <c r="I78" s="115">
        <f>I79</f>
        <v>1044.3031331820441</v>
      </c>
      <c r="J78" s="486">
        <f>J79</f>
        <v>1737.3710325045895</v>
      </c>
      <c r="K78" s="115">
        <f>K79</f>
        <v>15513</v>
      </c>
    </row>
    <row r="79" spans="1:13" s="51" customFormat="1" ht="23.55" customHeight="1">
      <c r="A79" s="156">
        <v>947</v>
      </c>
      <c r="B79" s="115">
        <v>2200</v>
      </c>
      <c r="C79" s="44" t="s">
        <v>1016</v>
      </c>
      <c r="D79" s="43"/>
      <c r="E79" s="156">
        <v>2369</v>
      </c>
      <c r="G79" s="155">
        <f t="shared" si="5"/>
        <v>9.6577272727272732</v>
      </c>
      <c r="H79" s="156">
        <f>B79/$J$5*$J$6</f>
        <v>2430.4389318271346</v>
      </c>
      <c r="I79" s="156">
        <f>A79/$L$3*$J$6</f>
        <v>1044.3031331820441</v>
      </c>
      <c r="J79" s="156">
        <f>(H79+I79)/2</f>
        <v>1737.3710325045895</v>
      </c>
      <c r="K79" s="156">
        <v>15513</v>
      </c>
      <c r="M79" s="51">
        <f>1292750*12</f>
        <v>15513000</v>
      </c>
    </row>
    <row r="80" spans="1:13" s="51" customFormat="1" ht="23.25" customHeight="1">
      <c r="A80" s="25">
        <f>SUM(A81)</f>
        <v>14656</v>
      </c>
      <c r="B80" s="25">
        <f>SUM(B81)</f>
        <v>23000</v>
      </c>
      <c r="C80" s="86" t="s">
        <v>1017</v>
      </c>
      <c r="D80" s="43"/>
      <c r="E80" s="25">
        <f>SUM(E81)</f>
        <v>21247</v>
      </c>
      <c r="F80" s="25" t="e">
        <f>SUM(#REF!,#REF!,F81)</f>
        <v>#REF!</v>
      </c>
      <c r="G80" s="155">
        <f t="shared" si="5"/>
        <v>0.92378260869565221</v>
      </c>
      <c r="H80" s="25">
        <f>SUM(H81)</f>
        <v>0</v>
      </c>
      <c r="I80" s="25">
        <f>SUM(I81)</f>
        <v>13.232985848135723</v>
      </c>
      <c r="J80" s="25">
        <f>SUM(J81)</f>
        <v>6.6164929240678614</v>
      </c>
      <c r="K80" s="25">
        <f>SUM(K81)</f>
        <v>40</v>
      </c>
    </row>
    <row r="81" spans="1:11" s="51" customFormat="1" ht="23.55" customHeight="1">
      <c r="A81" s="156">
        <v>14656</v>
      </c>
      <c r="B81" s="25">
        <v>23000</v>
      </c>
      <c r="C81" s="44" t="s">
        <v>1018</v>
      </c>
      <c r="D81" s="43"/>
      <c r="E81" s="156">
        <v>21247</v>
      </c>
      <c r="F81" s="25">
        <f>F82</f>
        <v>0</v>
      </c>
      <c r="G81" s="155">
        <f t="shared" si="5"/>
        <v>0</v>
      </c>
      <c r="H81" s="115">
        <f>H82</f>
        <v>0</v>
      </c>
      <c r="I81" s="115">
        <f>I82</f>
        <v>13.232985848135723</v>
      </c>
      <c r="J81" s="115">
        <f>J82</f>
        <v>6.6164929240678614</v>
      </c>
      <c r="K81" s="115">
        <f>K82</f>
        <v>40</v>
      </c>
    </row>
    <row r="82" spans="1:11" s="51" customFormat="1" ht="23.55" customHeight="1">
      <c r="A82" s="115">
        <f>A85+A88</f>
        <v>12</v>
      </c>
      <c r="B82" s="156">
        <f>B83+B85</f>
        <v>0</v>
      </c>
      <c r="C82" s="1087" t="s">
        <v>1019</v>
      </c>
      <c r="D82" s="1088"/>
      <c r="E82" s="156">
        <f>E83+E85</f>
        <v>0</v>
      </c>
      <c r="G82" s="155" t="e">
        <f>E84/B82</f>
        <v>#DIV/0!</v>
      </c>
      <c r="H82" s="156">
        <f>B82/$J$5*$J$6</f>
        <v>0</v>
      </c>
      <c r="I82" s="156">
        <f>A82/$L$3*$J$6</f>
        <v>13.232985848135723</v>
      </c>
      <c r="J82" s="156">
        <f>(H82+I82)/2</f>
        <v>6.6164929240678614</v>
      </c>
      <c r="K82" s="156">
        <v>40</v>
      </c>
    </row>
    <row r="83" spans="1:11" s="51" customFormat="1" ht="23.25" customHeight="1">
      <c r="A83" s="25">
        <f>SUM(A84)</f>
        <v>0</v>
      </c>
      <c r="B83" s="25">
        <f>SUM(B84)</f>
        <v>0</v>
      </c>
      <c r="C83" s="1091" t="s">
        <v>1020</v>
      </c>
      <c r="D83" s="1092"/>
      <c r="E83" s="25">
        <f>SUM(E84)</f>
        <v>0</v>
      </c>
      <c r="F83" s="25" t="e">
        <f>SUM(#REF!,#REF!,F84)</f>
        <v>#REF!</v>
      </c>
      <c r="G83" s="155" t="e">
        <f>E85/B83</f>
        <v>#DIV/0!</v>
      </c>
      <c r="H83" s="25">
        <f>SUM(H84)</f>
        <v>0</v>
      </c>
      <c r="I83" s="25">
        <f>SUM(I84)</f>
        <v>0</v>
      </c>
      <c r="J83" s="25">
        <f>SUM(J84)</f>
        <v>0</v>
      </c>
      <c r="K83" s="25">
        <f>SUM(K84)</f>
        <v>0</v>
      </c>
    </row>
    <row r="84" spans="1:11" s="51" customFormat="1" ht="23.55" customHeight="1">
      <c r="A84" s="156"/>
      <c r="B84" s="156"/>
      <c r="C84" s="1085" t="s">
        <v>1021</v>
      </c>
      <c r="D84" s="1093"/>
      <c r="E84" s="156"/>
      <c r="F84" s="25">
        <f>F85</f>
        <v>0</v>
      </c>
      <c r="G84" s="155" t="e">
        <f>E86/B84</f>
        <v>#DIV/0!</v>
      </c>
      <c r="H84" s="115">
        <f>H85</f>
        <v>0</v>
      </c>
      <c r="I84" s="115">
        <f>I85</f>
        <v>0</v>
      </c>
      <c r="J84" s="115">
        <f>J85</f>
        <v>0</v>
      </c>
      <c r="K84" s="115">
        <f>K85</f>
        <v>0</v>
      </c>
    </row>
    <row r="85" spans="1:11" s="51" customFormat="1" ht="23.55" customHeight="1">
      <c r="A85" s="115">
        <f>SUM(A86:A87)</f>
        <v>0</v>
      </c>
      <c r="B85" s="115">
        <f>SUM(B86:B87)</f>
        <v>0</v>
      </c>
      <c r="C85" s="1091" t="s">
        <v>1022</v>
      </c>
      <c r="D85" s="1092"/>
      <c r="E85" s="115">
        <f>SUM(E86:E87)</f>
        <v>0</v>
      </c>
      <c r="G85" s="155" t="e">
        <f>E87/B85</f>
        <v>#DIV/0!</v>
      </c>
      <c r="H85" s="156">
        <f>B85/$J$5*$J$6</f>
        <v>0</v>
      </c>
      <c r="I85" s="156">
        <f>A85/$L$3*$J$6</f>
        <v>0</v>
      </c>
      <c r="J85" s="156">
        <f>(H85+I85)/2</f>
        <v>0</v>
      </c>
      <c r="K85" s="156">
        <v>0</v>
      </c>
    </row>
    <row r="86" spans="1:11" s="51" customFormat="1" ht="23.55" customHeight="1">
      <c r="A86" s="156"/>
      <c r="B86" s="115">
        <v>0</v>
      </c>
      <c r="C86" s="1085" t="s">
        <v>1023</v>
      </c>
      <c r="D86" s="1093"/>
      <c r="E86" s="115">
        <v>0</v>
      </c>
      <c r="G86" s="155"/>
      <c r="H86" s="156"/>
      <c r="I86" s="156"/>
      <c r="J86" s="156"/>
      <c r="K86" s="156"/>
    </row>
    <row r="87" spans="1:11" s="51" customFormat="1" ht="23.55" customHeight="1">
      <c r="A87" s="156"/>
      <c r="B87" s="156"/>
      <c r="C87" s="699" t="s">
        <v>1024</v>
      </c>
      <c r="D87" s="727"/>
      <c r="E87" s="156"/>
      <c r="G87" s="155"/>
      <c r="H87" s="156"/>
      <c r="I87" s="156"/>
      <c r="J87" s="156"/>
      <c r="K87" s="156"/>
    </row>
    <row r="88" spans="1:11" s="51" customFormat="1" ht="23.55" customHeight="1">
      <c r="A88" s="115">
        <f>A89</f>
        <v>12</v>
      </c>
      <c r="B88" s="156"/>
      <c r="C88" s="1091" t="s">
        <v>1025</v>
      </c>
      <c r="D88" s="997"/>
      <c r="E88" s="156"/>
      <c r="G88" s="155"/>
      <c r="H88" s="156"/>
      <c r="I88" s="156"/>
      <c r="J88" s="156"/>
      <c r="K88" s="156"/>
    </row>
    <row r="89" spans="1:11" s="51" customFormat="1" ht="23.55" customHeight="1">
      <c r="A89" s="156">
        <v>12</v>
      </c>
      <c r="B89" s="725"/>
      <c r="C89" s="1085" t="s">
        <v>1026</v>
      </c>
      <c r="D89" s="1086"/>
      <c r="E89" s="725"/>
      <c r="G89" s="155"/>
      <c r="H89" s="156"/>
      <c r="I89" s="156"/>
      <c r="J89" s="156"/>
      <c r="K89" s="156"/>
    </row>
    <row r="90" spans="1:11" s="51" customFormat="1" ht="35.25" customHeight="1">
      <c r="A90" s="115">
        <f>A91</f>
        <v>1185</v>
      </c>
      <c r="B90" s="115">
        <f>B91</f>
        <v>1200</v>
      </c>
      <c r="C90" s="1087" t="s">
        <v>1027</v>
      </c>
      <c r="D90" s="1088"/>
      <c r="E90" s="115">
        <f>E91</f>
        <v>0</v>
      </c>
      <c r="G90" s="155"/>
      <c r="H90" s="156"/>
      <c r="I90" s="156"/>
      <c r="J90" s="156"/>
      <c r="K90" s="156"/>
    </row>
    <row r="91" spans="1:11" s="51" customFormat="1" ht="23.55" customHeight="1">
      <c r="A91" s="115">
        <f>A92</f>
        <v>1185</v>
      </c>
      <c r="B91" s="115">
        <f>B92</f>
        <v>1200</v>
      </c>
      <c r="C91" s="86" t="s">
        <v>1028</v>
      </c>
      <c r="D91" s="43"/>
      <c r="E91" s="115">
        <f>E92</f>
        <v>0</v>
      </c>
      <c r="G91" s="155"/>
      <c r="H91" s="156"/>
      <c r="I91" s="156"/>
      <c r="J91" s="156"/>
      <c r="K91" s="156"/>
    </row>
    <row r="92" spans="1:11" s="51" customFormat="1" ht="23.55" customHeight="1">
      <c r="A92" s="156">
        <v>1185</v>
      </c>
      <c r="B92" s="156">
        <v>1200</v>
      </c>
      <c r="C92" s="44" t="s">
        <v>1032</v>
      </c>
      <c r="D92" s="43"/>
      <c r="E92" s="814">
        <f>1200-1200</f>
        <v>0</v>
      </c>
      <c r="G92" s="155"/>
      <c r="H92" s="156"/>
      <c r="I92" s="156"/>
      <c r="J92" s="156"/>
      <c r="K92" s="156"/>
    </row>
    <row r="93" spans="1:11" s="51" customFormat="1" ht="23.55" customHeight="1">
      <c r="A93" s="156"/>
      <c r="B93" s="156"/>
      <c r="C93" s="81"/>
      <c r="D93" s="43"/>
      <c r="E93" s="156"/>
      <c r="G93" s="155"/>
      <c r="H93" s="156"/>
      <c r="I93" s="156"/>
      <c r="J93" s="156"/>
      <c r="K93" s="156"/>
    </row>
    <row r="94" spans="1:11" ht="30.75" customHeight="1" thickBot="1">
      <c r="A94" s="477">
        <f>A8</f>
        <v>592879</v>
      </c>
      <c r="B94" s="477">
        <f>B8</f>
        <v>646803</v>
      </c>
      <c r="C94" s="1089" t="s">
        <v>1029</v>
      </c>
      <c r="D94" s="1090"/>
      <c r="E94" s="477">
        <f>E8</f>
        <v>612467</v>
      </c>
      <c r="F94" s="83"/>
      <c r="H94" s="477">
        <f>H8</f>
        <v>762394.44582013285</v>
      </c>
      <c r="I94" s="477">
        <f>I8</f>
        <v>693214.37464987242</v>
      </c>
      <c r="J94" s="477">
        <f>J8</f>
        <v>727750.37554278946</v>
      </c>
      <c r="K94" s="477">
        <f>K8</f>
        <v>786095</v>
      </c>
    </row>
    <row r="95" spans="1:11">
      <c r="C95" s="81"/>
      <c r="D95" s="43"/>
      <c r="E95" s="156"/>
    </row>
    <row r="96" spans="1:11" ht="16.8" thickBot="1">
      <c r="C96" s="81"/>
      <c r="D96" s="43"/>
      <c r="E96" s="477">
        <f>E8</f>
        <v>612467</v>
      </c>
    </row>
    <row r="97" spans="3:5">
      <c r="C97" s="81"/>
      <c r="D97" s="43"/>
      <c r="E97" s="158"/>
    </row>
    <row r="98" spans="3:5">
      <c r="C98" s="81"/>
      <c r="D98" s="43"/>
    </row>
    <row r="99" spans="3:5">
      <c r="C99" s="81"/>
      <c r="D99" s="43"/>
    </row>
    <row r="100" spans="3:5" ht="16.8" thickBot="1">
      <c r="C100" s="1089" t="s">
        <v>1029</v>
      </c>
      <c r="D100" s="1090"/>
    </row>
    <row r="101" spans="3:5">
      <c r="C101" s="118"/>
    </row>
  </sheetData>
  <mergeCells count="25">
    <mergeCell ref="C61:D61"/>
    <mergeCell ref="A1:E1"/>
    <mergeCell ref="A2:E2"/>
    <mergeCell ref="A3:E3"/>
    <mergeCell ref="A4:E4"/>
    <mergeCell ref="A5:E5"/>
    <mergeCell ref="A6:A7"/>
    <mergeCell ref="B6:B7"/>
    <mergeCell ref="C6:D7"/>
    <mergeCell ref="E6:E7"/>
    <mergeCell ref="C34:D34"/>
    <mergeCell ref="C35:D35"/>
    <mergeCell ref="C36:D36"/>
    <mergeCell ref="C51:D51"/>
    <mergeCell ref="C55:D55"/>
    <mergeCell ref="C89:D89"/>
    <mergeCell ref="C90:D90"/>
    <mergeCell ref="C94:D94"/>
    <mergeCell ref="C100:D100"/>
    <mergeCell ref="C82:D82"/>
    <mergeCell ref="C83:D83"/>
    <mergeCell ref="C84:D84"/>
    <mergeCell ref="C85:D85"/>
    <mergeCell ref="C86:D86"/>
    <mergeCell ref="C88:D88"/>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19" orientation="portrait" useFirstPageNumber="1" r:id="rId1"/>
  <headerFooter alignWithMargins="0">
    <oddFooter>&amp;C&amp;"Arial Unicode MS,標準"&amp;P</oddFooter>
  </headerFooter>
  <rowBreaks count="2" manualBreakCount="2">
    <brk id="36" max="16383" man="1"/>
    <brk id="66" max="16383" man="1"/>
  </rowBreaks>
</worksheet>
</file>

<file path=xl/worksheets/sheet2.xml><?xml version="1.0" encoding="utf-8"?>
<worksheet xmlns="http://schemas.openxmlformats.org/spreadsheetml/2006/main" xmlns:r="http://schemas.openxmlformats.org/officeDocument/2006/relationships">
  <sheetPr codeName="Sheet3"/>
  <dimension ref="A18:I18"/>
  <sheetViews>
    <sheetView zoomScale="50" workbookViewId="0">
      <selection activeCell="I38" sqref="I38"/>
    </sheetView>
  </sheetViews>
  <sheetFormatPr defaultColWidth="9" defaultRowHeight="16.2"/>
  <cols>
    <col min="1" max="8" width="9" style="1"/>
    <col min="9" max="9" width="14.109375" style="1" customWidth="1"/>
    <col min="10" max="16384" width="9" style="1"/>
  </cols>
  <sheetData>
    <row r="18" spans="1:9" ht="59.25" customHeight="1">
      <c r="A18" s="955" t="s">
        <v>261</v>
      </c>
      <c r="B18" s="956"/>
      <c r="C18" s="956"/>
      <c r="D18" s="956"/>
      <c r="E18" s="956"/>
      <c r="F18" s="956"/>
      <c r="G18" s="956"/>
      <c r="H18" s="956"/>
      <c r="I18" s="956"/>
    </row>
  </sheetData>
  <mergeCells count="1">
    <mergeCell ref="A18:I18"/>
  </mergeCells>
  <phoneticPr fontId="14" type="noConversion"/>
  <pageMargins left="0.74803149606299213" right="0.74803149606299213" top="0.59055118110236227" bottom="0.59055118110236227"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sheetPr codeName="Sheet19">
    <tabColor rgb="FFFFFFCC"/>
  </sheetPr>
  <dimension ref="A1:F33"/>
  <sheetViews>
    <sheetView topLeftCell="A25" zoomScaleNormal="100" workbookViewId="0">
      <selection activeCell="D40" sqref="D40"/>
    </sheetView>
  </sheetViews>
  <sheetFormatPr defaultColWidth="9" defaultRowHeight="16.2"/>
  <cols>
    <col min="1" max="2" width="17.6640625" style="34" customWidth="1"/>
    <col min="3" max="3" width="7.6640625" style="34" customWidth="1"/>
    <col min="4" max="4" width="31.33203125" style="34" customWidth="1"/>
    <col min="5" max="5" width="18" style="34" customWidth="1"/>
    <col min="6" max="6" width="8.77734375" style="34" hidden="1" customWidth="1"/>
    <col min="7" max="16384" width="9" style="34"/>
  </cols>
  <sheetData>
    <row r="1" spans="1:6" ht="24.6">
      <c r="A1" s="992" t="s">
        <v>152</v>
      </c>
      <c r="B1" s="992"/>
      <c r="C1" s="992"/>
      <c r="D1" s="992"/>
      <c r="E1" s="992"/>
      <c r="F1" s="36"/>
    </row>
    <row r="2" spans="1:6" ht="22.2">
      <c r="A2" s="1005" t="s">
        <v>153</v>
      </c>
      <c r="B2" s="1005"/>
      <c r="C2" s="1005"/>
      <c r="D2" s="1005"/>
      <c r="E2" s="1005"/>
      <c r="F2" s="37"/>
    </row>
    <row r="3" spans="1:6" ht="22.2">
      <c r="A3" s="1004" t="s">
        <v>339</v>
      </c>
      <c r="B3" s="1004"/>
      <c r="C3" s="1004"/>
      <c r="D3" s="1004"/>
      <c r="E3" s="1004"/>
      <c r="F3" s="38"/>
    </row>
    <row r="4" spans="1:6" ht="19.8">
      <c r="A4" s="1082" t="s">
        <v>1047</v>
      </c>
      <c r="B4" s="1082"/>
      <c r="C4" s="1082"/>
      <c r="D4" s="1082"/>
      <c r="E4" s="1082"/>
      <c r="F4" s="39"/>
    </row>
    <row r="5" spans="1:6" ht="16.8" thickBot="1">
      <c r="C5" s="39"/>
      <c r="D5" s="39"/>
      <c r="E5" s="40" t="s">
        <v>672</v>
      </c>
      <c r="F5" s="41"/>
    </row>
    <row r="6" spans="1:6" s="45" customFormat="1" ht="21" customHeight="1">
      <c r="A6" s="1028" t="s">
        <v>382</v>
      </c>
      <c r="B6" s="1057" t="s">
        <v>62</v>
      </c>
      <c r="C6" s="1057" t="s">
        <v>63</v>
      </c>
      <c r="D6" s="1057"/>
      <c r="E6" s="1032" t="s">
        <v>64</v>
      </c>
      <c r="F6" s="74"/>
    </row>
    <row r="7" spans="1:6" s="45" customFormat="1" ht="21" customHeight="1" thickBot="1">
      <c r="A7" s="1118"/>
      <c r="B7" s="1114"/>
      <c r="C7" s="1114"/>
      <c r="D7" s="1114"/>
      <c r="E7" s="1119"/>
      <c r="F7" s="75"/>
    </row>
    <row r="8" spans="1:6" s="45" customFormat="1" ht="25.05" customHeight="1">
      <c r="A8" s="896">
        <f>SUM(A9)</f>
        <v>0</v>
      </c>
      <c r="B8" s="897">
        <f>SUM(B9)</f>
        <v>1099</v>
      </c>
      <c r="C8" s="520" t="s">
        <v>77</v>
      </c>
      <c r="D8" s="524"/>
      <c r="E8" s="901">
        <f>SUM(E9)</f>
        <v>1099</v>
      </c>
      <c r="F8" s="211"/>
    </row>
    <row r="9" spans="1:6" s="51" customFormat="1" ht="25.05" customHeight="1">
      <c r="A9" s="493">
        <f>SUM(A10,A19,A22,A26)</f>
        <v>0</v>
      </c>
      <c r="B9" s="198">
        <f>SUM(B10,B19,B22)</f>
        <v>1099</v>
      </c>
      <c r="C9" s="1095" t="s">
        <v>645</v>
      </c>
      <c r="D9" s="1115"/>
      <c r="E9" s="819">
        <f>SUM(E10,E19,E22)</f>
        <v>1099</v>
      </c>
      <c r="F9" s="25" t="e">
        <f>#REF!</f>
        <v>#REF!</v>
      </c>
    </row>
    <row r="10" spans="1:6" s="821" customFormat="1" ht="25.05" customHeight="1">
      <c r="A10" s="898">
        <f>SUM(A11:A18)</f>
        <v>0</v>
      </c>
      <c r="B10" s="899">
        <f>SUM(B11:B18)</f>
        <v>1000</v>
      </c>
      <c r="C10" s="88" t="s">
        <v>82</v>
      </c>
      <c r="D10" s="492"/>
      <c r="E10" s="902">
        <f>SUM(E11:E18)</f>
        <v>1000</v>
      </c>
      <c r="F10" s="820"/>
    </row>
    <row r="11" spans="1:6" s="48" customFormat="1" ht="25.05" customHeight="1">
      <c r="A11" s="207">
        <f>'23.其他業務成本明細7級(X)'!A10</f>
        <v>0</v>
      </c>
      <c r="B11" s="159">
        <v>380</v>
      </c>
      <c r="C11" s="240" t="s">
        <v>65</v>
      </c>
      <c r="D11" s="201"/>
      <c r="E11" s="208">
        <f>'23.其他業務成本明細7級(X)'!E10</f>
        <v>380</v>
      </c>
      <c r="F11" s="25" t="e">
        <f>SUM(#REF!)</f>
        <v>#REF!</v>
      </c>
    </row>
    <row r="12" spans="1:6" s="48" customFormat="1" ht="25.05" customHeight="1">
      <c r="A12" s="900">
        <f>'23.其他業務成本明細7級(X)'!A14</f>
        <v>0</v>
      </c>
      <c r="B12" s="206">
        <v>80</v>
      </c>
      <c r="C12" s="240" t="s">
        <v>66</v>
      </c>
      <c r="D12" s="201"/>
      <c r="E12" s="903">
        <f>'23.其他業務成本明細7級(X)'!E14</f>
        <v>80</v>
      </c>
      <c r="F12" s="25"/>
    </row>
    <row r="13" spans="1:6" s="48" customFormat="1" ht="25.05" customHeight="1">
      <c r="A13" s="900">
        <v>0</v>
      </c>
      <c r="B13" s="206">
        <v>0</v>
      </c>
      <c r="C13" s="240" t="s">
        <v>67</v>
      </c>
      <c r="D13" s="201"/>
      <c r="E13" s="903">
        <f>'23.其他業務成本明細7級(X)'!E18</f>
        <v>0</v>
      </c>
      <c r="F13" s="42"/>
    </row>
    <row r="14" spans="1:6" ht="25.05" customHeight="1">
      <c r="A14" s="207">
        <v>0</v>
      </c>
      <c r="B14" s="159">
        <v>0</v>
      </c>
      <c r="C14" s="240" t="s">
        <v>68</v>
      </c>
      <c r="D14" s="201"/>
      <c r="E14" s="208">
        <f>'23.其他業務成本明細7級(X)'!E21</f>
        <v>0</v>
      </c>
    </row>
    <row r="15" spans="1:6" ht="25.05" customHeight="1">
      <c r="A15" s="207">
        <v>0</v>
      </c>
      <c r="B15" s="159">
        <v>460</v>
      </c>
      <c r="C15" s="240" t="s">
        <v>84</v>
      </c>
      <c r="D15" s="201"/>
      <c r="E15" s="208">
        <f>'23.其他業務成本明細7級(X)'!E23</f>
        <v>460</v>
      </c>
    </row>
    <row r="16" spans="1:6" ht="25.05" customHeight="1">
      <c r="A16" s="207">
        <f>'23.其他業務成本明細7級(X)'!A27</f>
        <v>0</v>
      </c>
      <c r="B16" s="159">
        <f>'23.其他業務成本明細7級(X)'!B27</f>
        <v>0</v>
      </c>
      <c r="C16" s="240" t="s">
        <v>69</v>
      </c>
      <c r="D16" s="201"/>
      <c r="E16" s="208">
        <f>'23.其他業務成本明細7級(X)'!E27</f>
        <v>0</v>
      </c>
    </row>
    <row r="17" spans="1:5" ht="25.05" customHeight="1">
      <c r="A17" s="207">
        <f>'23.其他業務成本明細7級(X)'!A30</f>
        <v>0</v>
      </c>
      <c r="B17" s="159">
        <v>80</v>
      </c>
      <c r="C17" s="240" t="s">
        <v>70</v>
      </c>
      <c r="D17" s="201"/>
      <c r="E17" s="208">
        <f>'23.其他業務成本明細7級(X)'!E30</f>
        <v>80</v>
      </c>
    </row>
    <row r="18" spans="1:5" ht="25.05" customHeight="1">
      <c r="A18" s="207">
        <f>'23.其他業務成本明細7級(X)'!A34</f>
        <v>0</v>
      </c>
      <c r="B18" s="159">
        <f>'23.其他業務成本明細7級(X)'!B34</f>
        <v>0</v>
      </c>
      <c r="C18" s="240" t="s">
        <v>71</v>
      </c>
      <c r="D18" s="201"/>
      <c r="E18" s="208">
        <f>'23.其他業務成本明細7級(X)'!E34</f>
        <v>0</v>
      </c>
    </row>
    <row r="19" spans="1:5" s="98" customFormat="1" ht="25.05" customHeight="1">
      <c r="A19" s="493">
        <f>SUM(A20:A21)</f>
        <v>0</v>
      </c>
      <c r="B19" s="198">
        <f>SUM(B20:B21)</f>
        <v>99</v>
      </c>
      <c r="C19" s="88" t="s">
        <v>1097</v>
      </c>
      <c r="D19" s="521"/>
      <c r="E19" s="819">
        <f>SUM(E20:E21)</f>
        <v>99</v>
      </c>
    </row>
    <row r="20" spans="1:5" ht="25.05" customHeight="1">
      <c r="A20" s="207">
        <f>'23.其他業務成本明細7級(X)'!A37</f>
        <v>0</v>
      </c>
      <c r="B20" s="159">
        <f>'23.其他業務成本明細7級(X)'!B37</f>
        <v>0</v>
      </c>
      <c r="C20" s="240" t="s">
        <v>72</v>
      </c>
      <c r="D20" s="201"/>
      <c r="E20" s="208">
        <f>'23.其他業務成本明細7級(X)'!E37</f>
        <v>0</v>
      </c>
    </row>
    <row r="21" spans="1:5" ht="25.05" customHeight="1">
      <c r="A21" s="207">
        <f>'23.其他業務成本明細7級(X)'!A40</f>
        <v>0</v>
      </c>
      <c r="B21" s="159">
        <v>99</v>
      </c>
      <c r="C21" s="240" t="s">
        <v>73</v>
      </c>
      <c r="D21" s="201"/>
      <c r="E21" s="208">
        <f>'23.其他業務成本明細7級(X)'!E40</f>
        <v>99</v>
      </c>
    </row>
    <row r="22" spans="1:5" s="98" customFormat="1" ht="25.05" customHeight="1">
      <c r="A22" s="493">
        <f>SUM(A23:A25)</f>
        <v>0</v>
      </c>
      <c r="B22" s="198">
        <f>SUM(B23:C25)</f>
        <v>0</v>
      </c>
      <c r="C22" s="88" t="s">
        <v>646</v>
      </c>
      <c r="D22" s="521"/>
      <c r="E22" s="819">
        <f>SUM(E23:F25)</f>
        <v>0</v>
      </c>
    </row>
    <row r="23" spans="1:5" ht="25.05" customHeight="1">
      <c r="A23" s="207">
        <f>'23.其他業務成本明細7級(X)'!A47</f>
        <v>0</v>
      </c>
      <c r="B23" s="159">
        <f>'23.其他業務成本明細7級(X)'!B47</f>
        <v>0</v>
      </c>
      <c r="C23" s="240" t="s">
        <v>25</v>
      </c>
      <c r="D23" s="201"/>
      <c r="E23" s="208">
        <f>'23.其他業務成本明細7級(X)'!E47</f>
        <v>0</v>
      </c>
    </row>
    <row r="24" spans="1:5" ht="25.05" customHeight="1">
      <c r="A24" s="207">
        <f>'23.其他業務成本明細7級(X)'!A49</f>
        <v>0</v>
      </c>
      <c r="B24" s="159">
        <f>'23.其他業務成本明細7級(X)'!B49</f>
        <v>0</v>
      </c>
      <c r="C24" s="240" t="s">
        <v>26</v>
      </c>
      <c r="D24" s="201"/>
      <c r="E24" s="208">
        <f>'23.其他業務成本明細7級(X)'!E49</f>
        <v>0</v>
      </c>
    </row>
    <row r="25" spans="1:5" ht="25.05" customHeight="1">
      <c r="A25" s="207">
        <f>'23.其他業務成本明細7級(X)'!A51</f>
        <v>0</v>
      </c>
      <c r="B25" s="159">
        <f>'23.其他業務成本明細7級(X)'!B51</f>
        <v>0</v>
      </c>
      <c r="C25" s="240" t="s">
        <v>74</v>
      </c>
      <c r="D25" s="201"/>
      <c r="E25" s="208">
        <f>'23.其他業務成本明細7級(X)'!E51</f>
        <v>0</v>
      </c>
    </row>
    <row r="26" spans="1:5" s="98" customFormat="1" ht="25.05" customHeight="1">
      <c r="A26" s="493">
        <f>SUM(A27)</f>
        <v>0</v>
      </c>
      <c r="B26" s="198">
        <f>SUM(B27)</f>
        <v>0</v>
      </c>
      <c r="C26" s="88" t="s">
        <v>1098</v>
      </c>
      <c r="D26" s="521"/>
      <c r="E26" s="819">
        <f>SUM(E27)</f>
        <v>0</v>
      </c>
    </row>
    <row r="27" spans="1:5" ht="25.05" customHeight="1">
      <c r="A27" s="207">
        <f>'23.其他業務成本明細7級(X)'!A54</f>
        <v>0</v>
      </c>
      <c r="B27" s="159">
        <f>'23.其他業務成本明細7級(X)'!B53</f>
        <v>0</v>
      </c>
      <c r="C27" s="240" t="s">
        <v>23</v>
      </c>
      <c r="D27" s="201"/>
      <c r="E27" s="208">
        <f>'23.其他業務成本明細7級(X)'!E53</f>
        <v>0</v>
      </c>
    </row>
    <row r="28" spans="1:5" ht="25.05" customHeight="1">
      <c r="A28" s="207"/>
      <c r="B28" s="159"/>
      <c r="C28" s="240"/>
      <c r="D28" s="201"/>
      <c r="E28" s="208"/>
    </row>
    <row r="29" spans="1:5" ht="25.05" customHeight="1">
      <c r="A29" s="207"/>
      <c r="B29" s="159"/>
      <c r="C29" s="240"/>
      <c r="D29" s="201"/>
      <c r="E29" s="208"/>
    </row>
    <row r="30" spans="1:5" ht="25.05" customHeight="1">
      <c r="A30" s="207"/>
      <c r="B30" s="159"/>
      <c r="C30" s="240"/>
      <c r="D30" s="201"/>
      <c r="E30" s="208"/>
    </row>
    <row r="31" spans="1:5" ht="25.05" customHeight="1">
      <c r="A31" s="207"/>
      <c r="B31" s="159"/>
      <c r="C31" s="86"/>
      <c r="D31" s="201"/>
      <c r="E31" s="208"/>
    </row>
    <row r="32" spans="1:5" ht="25.05" customHeight="1">
      <c r="A32" s="207"/>
      <c r="B32" s="159"/>
      <c r="C32" s="80"/>
      <c r="D32" s="209"/>
      <c r="E32" s="208"/>
    </row>
    <row r="33" spans="1:5" s="98" customFormat="1" ht="28.8" customHeight="1" thickBot="1">
      <c r="A33" s="479">
        <f>A8</f>
        <v>0</v>
      </c>
      <c r="B33" s="904">
        <f>B8</f>
        <v>1099</v>
      </c>
      <c r="C33" s="1116" t="s">
        <v>467</v>
      </c>
      <c r="D33" s="1117"/>
      <c r="E33" s="905">
        <f>E8</f>
        <v>1099</v>
      </c>
    </row>
  </sheetData>
  <mergeCells count="10">
    <mergeCell ref="C9:D9"/>
    <mergeCell ref="C33:D33"/>
    <mergeCell ref="A6:A7"/>
    <mergeCell ref="E6:E7"/>
    <mergeCell ref="C6:D7"/>
    <mergeCell ref="A1:E1"/>
    <mergeCell ref="A2:E2"/>
    <mergeCell ref="A3:E3"/>
    <mergeCell ref="A4:E4"/>
    <mergeCell ref="B6:B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7" orientation="portrait" blackAndWhite="1" useFirstPageNumber="1" r:id="rId1"/>
  <headerFooter scaleWithDoc="0" alignWithMargins="0">
    <oddFooter>&amp;C&amp;"Arial Unicode MS,標準"&amp;P</oddFooter>
  </headerFooter>
</worksheet>
</file>

<file path=xl/worksheets/sheet21.xml><?xml version="1.0" encoding="utf-8"?>
<worksheet xmlns="http://schemas.openxmlformats.org/spreadsheetml/2006/main" xmlns:r="http://schemas.openxmlformats.org/officeDocument/2006/relationships">
  <sheetPr codeName="Sheet20"/>
  <dimension ref="A1:G76"/>
  <sheetViews>
    <sheetView view="pageBreakPreview" topLeftCell="A26" zoomScaleNormal="75" zoomScaleSheetLayoutView="75" workbookViewId="0">
      <selection activeCell="E32" sqref="E32"/>
    </sheetView>
  </sheetViews>
  <sheetFormatPr defaultColWidth="9" defaultRowHeight="16.2"/>
  <cols>
    <col min="1" max="2" width="15.6640625" style="34" customWidth="1"/>
    <col min="3" max="3" width="7.6640625" style="34" customWidth="1"/>
    <col min="4" max="4" width="35.6640625" style="34" customWidth="1"/>
    <col min="5" max="5" width="15.6640625" style="34" customWidth="1"/>
    <col min="6" max="6" width="8.77734375" style="34" hidden="1" customWidth="1"/>
    <col min="7" max="7" width="9.21875" style="154" bestFit="1" customWidth="1"/>
    <col min="8" max="16384" width="9" style="34"/>
  </cols>
  <sheetData>
    <row r="1" spans="1:7" ht="24.6">
      <c r="A1" s="992" t="s">
        <v>481</v>
      </c>
      <c r="B1" s="992"/>
      <c r="C1" s="992"/>
      <c r="D1" s="992"/>
      <c r="E1" s="992"/>
      <c r="F1" s="36"/>
    </row>
    <row r="2" spans="1:7" ht="22.2">
      <c r="A2" s="1005" t="s">
        <v>482</v>
      </c>
      <c r="B2" s="1005"/>
      <c r="C2" s="1005"/>
      <c r="D2" s="1005"/>
      <c r="E2" s="1005"/>
      <c r="F2" s="37"/>
    </row>
    <row r="3" spans="1:7" ht="22.2">
      <c r="A3" s="1004" t="s">
        <v>19</v>
      </c>
      <c r="B3" s="1004"/>
      <c r="C3" s="1004"/>
      <c r="D3" s="1004"/>
      <c r="E3" s="1004"/>
      <c r="F3" s="38"/>
    </row>
    <row r="4" spans="1:7" ht="19.8">
      <c r="A4" s="1082" t="s">
        <v>860</v>
      </c>
      <c r="B4" s="1082"/>
      <c r="C4" s="1082"/>
      <c r="D4" s="1082"/>
      <c r="E4" s="1082"/>
      <c r="F4" s="39"/>
    </row>
    <row r="5" spans="1:7" ht="16.8" thickBot="1">
      <c r="A5" s="1131" t="s">
        <v>677</v>
      </c>
      <c r="B5" s="1131"/>
      <c r="C5" s="1131"/>
      <c r="D5" s="1131"/>
      <c r="E5" s="1131"/>
      <c r="F5" s="41"/>
    </row>
    <row r="6" spans="1:7" s="45" customFormat="1" ht="21" customHeight="1">
      <c r="A6" s="1120" t="s">
        <v>483</v>
      </c>
      <c r="B6" s="1120" t="s">
        <v>484</v>
      </c>
      <c r="C6" s="1123" t="s">
        <v>485</v>
      </c>
      <c r="D6" s="1124"/>
      <c r="E6" s="1122" t="s">
        <v>486</v>
      </c>
      <c r="F6" s="74"/>
      <c r="G6" s="155"/>
    </row>
    <row r="7" spans="1:7" s="45" customFormat="1" ht="21" customHeight="1" thickBot="1">
      <c r="A7" s="1121"/>
      <c r="B7" s="1121"/>
      <c r="C7" s="1125"/>
      <c r="D7" s="1126"/>
      <c r="E7" s="1121"/>
      <c r="F7" s="75"/>
      <c r="G7" s="155"/>
    </row>
    <row r="8" spans="1:7" s="45" customFormat="1" ht="23.25" customHeight="1">
      <c r="A8" s="32">
        <f>SUM(A9,A36,A46,A53)</f>
        <v>0</v>
      </c>
      <c r="B8" s="32">
        <f>SUM(B9,B36,B46,B53)</f>
        <v>0</v>
      </c>
      <c r="C8" s="46" t="s">
        <v>20</v>
      </c>
      <c r="D8" s="47"/>
      <c r="E8" s="32">
        <f>SUM(E9,E36,E46,E53)</f>
        <v>1099</v>
      </c>
      <c r="F8" s="32" t="e">
        <f>#REF!+F9+F36+F46+#REF!+#REF!+#REF!+#REF!+#REF!</f>
        <v>#REF!</v>
      </c>
      <c r="G8" s="155" t="e">
        <f t="shared" ref="G8:G32" si="0">E8/B8</f>
        <v>#DIV/0!</v>
      </c>
    </row>
    <row r="9" spans="1:7" s="48" customFormat="1" ht="23.25" customHeight="1">
      <c r="A9" s="25">
        <f>SUM(A10,A14,A18,A21,A23,A27,A30,A34)</f>
        <v>0</v>
      </c>
      <c r="B9" s="25">
        <f>SUM(B10,B14,B18,B21,B23,B27,B30,B34)</f>
        <v>0</v>
      </c>
      <c r="C9" s="54" t="s">
        <v>487</v>
      </c>
      <c r="D9" s="42"/>
      <c r="E9" s="25">
        <f>SUM(E10,E14,E18,E21,E23,E27,E30,E34)</f>
        <v>1000</v>
      </c>
      <c r="F9" s="25" t="e">
        <f>SUM(F10,F14,F18,F21,F34,F30,#REF!)</f>
        <v>#REF!</v>
      </c>
      <c r="G9" s="155" t="e">
        <f t="shared" si="0"/>
        <v>#DIV/0!</v>
      </c>
    </row>
    <row r="10" spans="1:7" s="48" customFormat="1" ht="23.25" customHeight="1">
      <c r="A10" s="25">
        <f>SUM(A11:A13)</f>
        <v>0</v>
      </c>
      <c r="B10" s="25">
        <f>SUM(B11:C13)</f>
        <v>0</v>
      </c>
      <c r="C10" s="201" t="s">
        <v>488</v>
      </c>
      <c r="D10" s="42"/>
      <c r="E10" s="25">
        <f>SUM(E11:F13)</f>
        <v>380</v>
      </c>
      <c r="F10" s="25">
        <f>SUM(F11:F12)</f>
        <v>0</v>
      </c>
      <c r="G10" s="155" t="e">
        <f t="shared" si="0"/>
        <v>#DIV/0!</v>
      </c>
    </row>
    <row r="11" spans="1:7" s="48" customFormat="1" ht="23.25" customHeight="1">
      <c r="A11" s="156">
        <v>0</v>
      </c>
      <c r="B11" s="156">
        <v>0</v>
      </c>
      <c r="C11" s="49" t="s">
        <v>489</v>
      </c>
      <c r="D11" s="42"/>
      <c r="E11" s="156">
        <v>370</v>
      </c>
      <c r="F11" s="25"/>
      <c r="G11" s="155" t="e">
        <f t="shared" si="0"/>
        <v>#DIV/0!</v>
      </c>
    </row>
    <row r="12" spans="1:7" s="48" customFormat="1" ht="23.25" customHeight="1">
      <c r="A12" s="156">
        <v>0</v>
      </c>
      <c r="B12" s="156">
        <v>0</v>
      </c>
      <c r="C12" s="49" t="s">
        <v>490</v>
      </c>
      <c r="D12" s="42"/>
      <c r="E12" s="156">
        <v>10</v>
      </c>
      <c r="F12" s="25"/>
      <c r="G12" s="155" t="e">
        <f t="shared" si="0"/>
        <v>#DIV/0!</v>
      </c>
    </row>
    <row r="13" spans="1:7" s="48" customFormat="1" ht="23.25" customHeight="1">
      <c r="A13" s="156">
        <v>0</v>
      </c>
      <c r="B13" s="156">
        <v>0</v>
      </c>
      <c r="C13" s="52" t="s">
        <v>491</v>
      </c>
      <c r="D13" s="42"/>
      <c r="E13" s="156">
        <v>0</v>
      </c>
      <c r="F13" s="25"/>
      <c r="G13" s="155" t="e">
        <f t="shared" si="0"/>
        <v>#DIV/0!</v>
      </c>
    </row>
    <row r="14" spans="1:7" s="48" customFormat="1" ht="23.25" customHeight="1">
      <c r="A14" s="25">
        <f>SUM(A15:A16)</f>
        <v>0</v>
      </c>
      <c r="B14" s="25">
        <f>SUM(B15:B16)</f>
        <v>0</v>
      </c>
      <c r="C14" s="86" t="s">
        <v>492</v>
      </c>
      <c r="D14" s="43"/>
      <c r="E14" s="25">
        <f>SUM(E15:E17)</f>
        <v>80</v>
      </c>
      <c r="F14" s="25">
        <f>SUM(F15:F16)</f>
        <v>0</v>
      </c>
      <c r="G14" s="155" t="e">
        <f t="shared" si="0"/>
        <v>#DIV/0!</v>
      </c>
    </row>
    <row r="15" spans="1:7" s="48" customFormat="1" ht="23.25" customHeight="1">
      <c r="A15" s="156">
        <v>0</v>
      </c>
      <c r="B15" s="156">
        <v>0</v>
      </c>
      <c r="C15" s="44" t="s">
        <v>493</v>
      </c>
      <c r="D15" s="43"/>
      <c r="E15" s="156">
        <v>20</v>
      </c>
      <c r="G15" s="155" t="e">
        <f t="shared" si="0"/>
        <v>#DIV/0!</v>
      </c>
    </row>
    <row r="16" spans="1:7" s="48" customFormat="1" ht="23.25" customHeight="1">
      <c r="A16" s="156">
        <v>0</v>
      </c>
      <c r="B16" s="156">
        <v>0</v>
      </c>
      <c r="C16" s="44" t="s">
        <v>494</v>
      </c>
      <c r="D16" s="43"/>
      <c r="E16" s="156">
        <v>30</v>
      </c>
      <c r="G16" s="155" t="e">
        <f t="shared" si="0"/>
        <v>#DIV/0!</v>
      </c>
    </row>
    <row r="17" spans="1:7" s="48" customFormat="1" ht="23.25" customHeight="1">
      <c r="A17" s="156"/>
      <c r="B17" s="156"/>
      <c r="C17" s="44" t="s">
        <v>926</v>
      </c>
      <c r="D17" s="43"/>
      <c r="E17" s="156">
        <v>30</v>
      </c>
      <c r="G17" s="155"/>
    </row>
    <row r="18" spans="1:7" s="48" customFormat="1" ht="23.25" customHeight="1">
      <c r="A18" s="25">
        <f>SUM(A19:A20)</f>
        <v>0</v>
      </c>
      <c r="B18" s="25">
        <f>SUM(B19:B20)</f>
        <v>0</v>
      </c>
      <c r="C18" s="86" t="s">
        <v>495</v>
      </c>
      <c r="D18" s="43"/>
      <c r="E18" s="25">
        <f>SUM(E19:E20)</f>
        <v>0</v>
      </c>
      <c r="F18" s="25">
        <f>SUM(F19:F20)</f>
        <v>0</v>
      </c>
      <c r="G18" s="155" t="e">
        <f t="shared" si="0"/>
        <v>#DIV/0!</v>
      </c>
    </row>
    <row r="19" spans="1:7" s="48" customFormat="1" ht="23.25" customHeight="1">
      <c r="A19" s="156">
        <v>0</v>
      </c>
      <c r="B19" s="156">
        <v>0</v>
      </c>
      <c r="C19" s="44" t="s">
        <v>496</v>
      </c>
      <c r="D19" s="43"/>
      <c r="E19" s="156">
        <v>0</v>
      </c>
      <c r="G19" s="155" t="e">
        <f t="shared" si="0"/>
        <v>#DIV/0!</v>
      </c>
    </row>
    <row r="20" spans="1:7" s="48" customFormat="1" ht="23.25" customHeight="1">
      <c r="A20" s="156"/>
      <c r="B20" s="156"/>
      <c r="C20" s="117" t="s">
        <v>497</v>
      </c>
      <c r="D20" s="43"/>
      <c r="E20" s="156">
        <v>0</v>
      </c>
      <c r="G20" s="155" t="e">
        <f t="shared" si="0"/>
        <v>#DIV/0!</v>
      </c>
    </row>
    <row r="21" spans="1:7" s="48" customFormat="1" ht="23.25" customHeight="1">
      <c r="A21" s="25"/>
      <c r="B21" s="25">
        <f>SUM(B22:B22)</f>
        <v>0</v>
      </c>
      <c r="C21" s="86" t="s">
        <v>498</v>
      </c>
      <c r="D21" s="43"/>
      <c r="E21" s="25">
        <f>SUM(E22:E22)</f>
        <v>0</v>
      </c>
      <c r="F21" s="25">
        <f>SUM(F22:F22)</f>
        <v>0</v>
      </c>
      <c r="G21" s="155" t="e">
        <f t="shared" si="0"/>
        <v>#DIV/0!</v>
      </c>
    </row>
    <row r="22" spans="1:7" s="48" customFormat="1" ht="23.25" hidden="1" customHeight="1">
      <c r="A22" s="156"/>
      <c r="B22" s="156"/>
      <c r="C22" s="44" t="s">
        <v>499</v>
      </c>
      <c r="D22" s="43"/>
      <c r="E22" s="156">
        <v>0</v>
      </c>
      <c r="G22" s="155" t="e">
        <f t="shared" si="0"/>
        <v>#DIV/0!</v>
      </c>
    </row>
    <row r="23" spans="1:7" s="48" customFormat="1" ht="23.25" customHeight="1">
      <c r="A23" s="25"/>
      <c r="B23" s="25">
        <f>SUM(B24:B26)</f>
        <v>0</v>
      </c>
      <c r="C23" s="80" t="s">
        <v>479</v>
      </c>
      <c r="D23" s="43"/>
      <c r="E23" s="25">
        <f>SUM(E24:E26)</f>
        <v>460</v>
      </c>
      <c r="G23" s="155" t="e">
        <f t="shared" si="0"/>
        <v>#DIV/0!</v>
      </c>
    </row>
    <row r="24" spans="1:7" s="48" customFormat="1" ht="23.25" customHeight="1">
      <c r="A24" s="156">
        <v>0</v>
      </c>
      <c r="B24" s="156">
        <v>0</v>
      </c>
      <c r="C24" s="52" t="s">
        <v>500</v>
      </c>
      <c r="D24" s="43"/>
      <c r="E24" s="156">
        <v>260</v>
      </c>
      <c r="G24" s="155" t="e">
        <f t="shared" si="0"/>
        <v>#DIV/0!</v>
      </c>
    </row>
    <row r="25" spans="1:7" s="48" customFormat="1" ht="23.25" customHeight="1">
      <c r="A25" s="156">
        <v>0</v>
      </c>
      <c r="B25" s="156">
        <v>0</v>
      </c>
      <c r="C25" s="52" t="s">
        <v>501</v>
      </c>
      <c r="D25" s="43"/>
      <c r="E25" s="156">
        <v>100</v>
      </c>
      <c r="G25" s="155" t="e">
        <f t="shared" si="0"/>
        <v>#DIV/0!</v>
      </c>
    </row>
    <row r="26" spans="1:7" s="48" customFormat="1" ht="23.25" customHeight="1">
      <c r="A26" s="156"/>
      <c r="B26" s="156">
        <v>0</v>
      </c>
      <c r="C26" s="52" t="s">
        <v>508</v>
      </c>
      <c r="D26" s="43"/>
      <c r="E26" s="156">
        <v>100</v>
      </c>
      <c r="G26" s="155" t="e">
        <f>E26/B26</f>
        <v>#DIV/0!</v>
      </c>
    </row>
    <row r="27" spans="1:7" s="48" customFormat="1" ht="23.25" customHeight="1">
      <c r="A27" s="25">
        <f>SUM(A28:A29)</f>
        <v>0</v>
      </c>
      <c r="B27" s="25">
        <f>SUM(B28:B29)</f>
        <v>0</v>
      </c>
      <c r="C27" s="80" t="s">
        <v>502</v>
      </c>
      <c r="D27" s="43"/>
      <c r="E27" s="25">
        <f>SUM(E28:E29)</f>
        <v>0</v>
      </c>
      <c r="G27" s="155" t="e">
        <f t="shared" si="0"/>
        <v>#DIV/0!</v>
      </c>
    </row>
    <row r="28" spans="1:7" s="48" customFormat="1" ht="23.25" hidden="1" customHeight="1">
      <c r="A28" s="156">
        <v>0</v>
      </c>
      <c r="B28" s="156">
        <v>0</v>
      </c>
      <c r="C28" s="52" t="s">
        <v>503</v>
      </c>
      <c r="D28" s="43"/>
      <c r="E28" s="156">
        <v>0</v>
      </c>
      <c r="G28" s="155" t="e">
        <f t="shared" si="0"/>
        <v>#DIV/0!</v>
      </c>
    </row>
    <row r="29" spans="1:7" s="48" customFormat="1" ht="23.25" hidden="1" customHeight="1">
      <c r="A29" s="156">
        <v>0</v>
      </c>
      <c r="B29" s="156">
        <v>0</v>
      </c>
      <c r="C29" s="52" t="s">
        <v>504</v>
      </c>
      <c r="D29" s="43"/>
      <c r="E29" s="156">
        <v>0</v>
      </c>
      <c r="G29" s="155" t="e">
        <f t="shared" si="0"/>
        <v>#DIV/0!</v>
      </c>
    </row>
    <row r="30" spans="1:7" s="48" customFormat="1" ht="23.25" customHeight="1">
      <c r="A30" s="25">
        <f>SUM(A31:A33)</f>
        <v>0</v>
      </c>
      <c r="B30" s="25">
        <f>SUM(B31:B33)</f>
        <v>0</v>
      </c>
      <c r="C30" s="1108" t="s">
        <v>0</v>
      </c>
      <c r="D30" s="1109"/>
      <c r="E30" s="25">
        <f>SUM(E31:E33)</f>
        <v>80</v>
      </c>
      <c r="F30" s="25">
        <f>SUM(F31:F32)</f>
        <v>0</v>
      </c>
      <c r="G30" s="155" t="e">
        <f t="shared" si="0"/>
        <v>#DIV/0!</v>
      </c>
    </row>
    <row r="31" spans="1:7" s="48" customFormat="1" ht="23.25" customHeight="1">
      <c r="A31" s="156">
        <v>0</v>
      </c>
      <c r="B31" s="156">
        <v>0</v>
      </c>
      <c r="C31" s="1129" t="s">
        <v>1</v>
      </c>
      <c r="D31" s="1130"/>
      <c r="E31" s="156">
        <v>80</v>
      </c>
      <c r="G31" s="155" t="e">
        <f t="shared" si="0"/>
        <v>#DIV/0!</v>
      </c>
    </row>
    <row r="32" spans="1:7" s="48" customFormat="1" ht="23.25" customHeight="1">
      <c r="A32" s="156">
        <v>0</v>
      </c>
      <c r="B32" s="156">
        <v>0</v>
      </c>
      <c r="C32" s="78" t="s">
        <v>2</v>
      </c>
      <c r="D32" s="475"/>
      <c r="E32" s="156">
        <v>0</v>
      </c>
      <c r="G32" s="155" t="e">
        <f t="shared" si="0"/>
        <v>#DIV/0!</v>
      </c>
    </row>
    <row r="33" spans="1:7" s="48" customFormat="1" ht="23.25" customHeight="1">
      <c r="A33" s="156">
        <v>0</v>
      </c>
      <c r="B33" s="156">
        <v>0</v>
      </c>
      <c r="C33" s="50" t="s">
        <v>3</v>
      </c>
      <c r="D33" s="476"/>
      <c r="E33" s="156">
        <v>0</v>
      </c>
      <c r="G33" s="155" t="e">
        <f t="shared" ref="G33:G44" si="1">E33/B33</f>
        <v>#DIV/0!</v>
      </c>
    </row>
    <row r="34" spans="1:7" s="48" customFormat="1" ht="23.25" customHeight="1">
      <c r="A34" s="25">
        <f>SUM(A35:A35)</f>
        <v>0</v>
      </c>
      <c r="B34" s="25">
        <f>SUM(B35:B35)</f>
        <v>0</v>
      </c>
      <c r="C34" s="80" t="s">
        <v>4</v>
      </c>
      <c r="D34" s="43"/>
      <c r="E34" s="25">
        <f>SUM(E35:E35)</f>
        <v>0</v>
      </c>
      <c r="F34" s="25" t="e">
        <f>SUM(#REF!)</f>
        <v>#REF!</v>
      </c>
      <c r="G34" s="155" t="e">
        <f t="shared" si="1"/>
        <v>#DIV/0!</v>
      </c>
    </row>
    <row r="35" spans="1:7" s="48" customFormat="1" ht="23.25" hidden="1" customHeight="1">
      <c r="A35" s="156">
        <v>0</v>
      </c>
      <c r="B35" s="156">
        <v>0</v>
      </c>
      <c r="C35" s="81" t="s">
        <v>5</v>
      </c>
      <c r="D35" s="43"/>
      <c r="E35" s="156">
        <v>0</v>
      </c>
      <c r="F35" s="42"/>
      <c r="G35" s="155" t="e">
        <f t="shared" si="1"/>
        <v>#DIV/0!</v>
      </c>
    </row>
    <row r="36" spans="1:7" s="51" customFormat="1" ht="23.25" customHeight="1" thickBot="1">
      <c r="A36" s="495">
        <f>SUM(A37,A40)</f>
        <v>0</v>
      </c>
      <c r="B36" s="495">
        <f>SUM(B37,B40)</f>
        <v>0</v>
      </c>
      <c r="C36" s="1127" t="s">
        <v>6</v>
      </c>
      <c r="D36" s="1128"/>
      <c r="E36" s="495">
        <f>SUM(E37,E40)</f>
        <v>99</v>
      </c>
      <c r="F36" s="25">
        <f>F40</f>
        <v>0</v>
      </c>
      <c r="G36" s="155" t="e">
        <f t="shared" si="1"/>
        <v>#DIV/0!</v>
      </c>
    </row>
    <row r="37" spans="1:7" s="51" customFormat="1" ht="23.25" customHeight="1">
      <c r="A37" s="25">
        <f>SUM(A38:A39)</f>
        <v>0</v>
      </c>
      <c r="B37" s="25">
        <f>SUM(B38:B39)</f>
        <v>0</v>
      </c>
      <c r="C37" s="120" t="s">
        <v>7</v>
      </c>
      <c r="D37" s="79"/>
      <c r="E37" s="25">
        <f>SUM(E38:E39)</f>
        <v>0</v>
      </c>
      <c r="F37" s="25"/>
      <c r="G37" s="155" t="e">
        <f t="shared" si="1"/>
        <v>#DIV/0!</v>
      </c>
    </row>
    <row r="38" spans="1:7" s="51" customFormat="1" ht="23.25" hidden="1" customHeight="1">
      <c r="A38" s="156">
        <v>0</v>
      </c>
      <c r="B38" s="156">
        <v>0</v>
      </c>
      <c r="C38" s="24" t="s">
        <v>8</v>
      </c>
      <c r="D38" s="79"/>
      <c r="E38" s="156">
        <v>0</v>
      </c>
      <c r="F38" s="25"/>
      <c r="G38" s="155" t="e">
        <f t="shared" si="1"/>
        <v>#DIV/0!</v>
      </c>
    </row>
    <row r="39" spans="1:7" s="51" customFormat="1" ht="23.25" hidden="1" customHeight="1">
      <c r="A39" s="156">
        <v>0</v>
      </c>
      <c r="B39" s="156">
        <v>0</v>
      </c>
      <c r="C39" s="24" t="s">
        <v>9</v>
      </c>
      <c r="D39" s="79"/>
      <c r="E39" s="156">
        <v>0</v>
      </c>
      <c r="F39" s="25"/>
      <c r="G39" s="155" t="e">
        <f t="shared" si="1"/>
        <v>#DIV/0!</v>
      </c>
    </row>
    <row r="40" spans="1:7" s="51" customFormat="1" ht="23.25" customHeight="1">
      <c r="A40" s="25">
        <f>SUM(A41:A45)</f>
        <v>0</v>
      </c>
      <c r="B40" s="25">
        <f>SUM(B41:B45)</f>
        <v>0</v>
      </c>
      <c r="C40" s="1108" t="s">
        <v>10</v>
      </c>
      <c r="D40" s="1109"/>
      <c r="E40" s="25">
        <f>SUM(E41:E45)</f>
        <v>99</v>
      </c>
      <c r="F40" s="25">
        <f>F43</f>
        <v>0</v>
      </c>
      <c r="G40" s="155" t="e">
        <f t="shared" si="1"/>
        <v>#DIV/0!</v>
      </c>
    </row>
    <row r="41" spans="1:7" s="51" customFormat="1" ht="23.25" customHeight="1">
      <c r="A41" s="156">
        <v>0</v>
      </c>
      <c r="B41" s="156">
        <v>0</v>
      </c>
      <c r="C41" s="24" t="s">
        <v>647</v>
      </c>
      <c r="D41" s="77"/>
      <c r="E41" s="156">
        <v>99</v>
      </c>
      <c r="F41" s="42"/>
      <c r="G41" s="155" t="e">
        <f t="shared" si="1"/>
        <v>#DIV/0!</v>
      </c>
    </row>
    <row r="42" spans="1:7" s="51" customFormat="1" ht="23.25" hidden="1" customHeight="1">
      <c r="A42" s="156">
        <v>0</v>
      </c>
      <c r="B42" s="156">
        <v>0</v>
      </c>
      <c r="C42" s="24" t="s">
        <v>648</v>
      </c>
      <c r="D42" s="77"/>
      <c r="E42" s="156">
        <v>0</v>
      </c>
      <c r="F42" s="42"/>
      <c r="G42" s="155" t="e">
        <f t="shared" si="1"/>
        <v>#DIV/0!</v>
      </c>
    </row>
    <row r="43" spans="1:7" s="51" customFormat="1" ht="23.25" hidden="1" customHeight="1">
      <c r="A43" s="156">
        <v>0</v>
      </c>
      <c r="B43" s="156">
        <v>0</v>
      </c>
      <c r="C43" s="44" t="s">
        <v>11</v>
      </c>
      <c r="D43" s="43"/>
      <c r="E43" s="156">
        <v>0</v>
      </c>
      <c r="G43" s="155" t="e">
        <f t="shared" si="1"/>
        <v>#DIV/0!</v>
      </c>
    </row>
    <row r="44" spans="1:7" s="51" customFormat="1" ht="23.25" hidden="1" customHeight="1">
      <c r="A44" s="156">
        <v>0</v>
      </c>
      <c r="B44" s="156">
        <v>0</v>
      </c>
      <c r="C44" s="44" t="s">
        <v>649</v>
      </c>
      <c r="D44" s="43"/>
      <c r="E44" s="156">
        <v>0</v>
      </c>
      <c r="G44" s="155" t="e">
        <f t="shared" si="1"/>
        <v>#DIV/0!</v>
      </c>
    </row>
    <row r="45" spans="1:7" s="51" customFormat="1" ht="23.25" hidden="1" customHeight="1">
      <c r="A45" s="156">
        <v>0</v>
      </c>
      <c r="B45" s="156">
        <v>0</v>
      </c>
      <c r="C45" s="52" t="s">
        <v>12</v>
      </c>
      <c r="D45" s="43"/>
      <c r="E45" s="156">
        <v>0</v>
      </c>
      <c r="G45" s="155" t="e">
        <f t="shared" ref="G45:G55" si="2">E45/B45</f>
        <v>#DIV/0!</v>
      </c>
    </row>
    <row r="46" spans="1:7" s="51" customFormat="1" ht="23.25" customHeight="1">
      <c r="A46" s="25">
        <f>SUM(A47,A49,A51)</f>
        <v>0</v>
      </c>
      <c r="B46" s="25">
        <f>SUM(B47,B49,B51)</f>
        <v>0</v>
      </c>
      <c r="C46" s="1094" t="s">
        <v>13</v>
      </c>
      <c r="D46" s="1095"/>
      <c r="E46" s="25">
        <f>SUM(E47,E49,E51)</f>
        <v>0</v>
      </c>
      <c r="F46" s="25" t="e">
        <f>#REF!+F49+#REF!</f>
        <v>#REF!</v>
      </c>
      <c r="G46" s="155" t="e">
        <f t="shared" si="2"/>
        <v>#DIV/0!</v>
      </c>
    </row>
    <row r="47" spans="1:7" s="51" customFormat="1" ht="23.25" customHeight="1">
      <c r="A47" s="25">
        <f>SUM(A48)</f>
        <v>0</v>
      </c>
      <c r="B47" s="25">
        <f>SUM(B48)</f>
        <v>0</v>
      </c>
      <c r="C47" s="80" t="s">
        <v>24</v>
      </c>
      <c r="D47" s="240"/>
      <c r="E47" s="25">
        <f>SUM(E48)</f>
        <v>0</v>
      </c>
      <c r="F47" s="25"/>
      <c r="G47" s="155" t="e">
        <f t="shared" si="2"/>
        <v>#DIV/0!</v>
      </c>
    </row>
    <row r="48" spans="1:7" s="51" customFormat="1" ht="23.25" hidden="1" customHeight="1">
      <c r="A48" s="156">
        <v>0</v>
      </c>
      <c r="B48" s="156">
        <v>0</v>
      </c>
      <c r="C48" s="52" t="s">
        <v>14</v>
      </c>
      <c r="D48" s="240"/>
      <c r="E48" s="156">
        <v>0</v>
      </c>
      <c r="F48" s="25"/>
      <c r="G48" s="155" t="e">
        <f t="shared" si="2"/>
        <v>#DIV/0!</v>
      </c>
    </row>
    <row r="49" spans="1:7" s="51" customFormat="1" ht="23.25" customHeight="1">
      <c r="A49" s="100">
        <f>A50</f>
        <v>0</v>
      </c>
      <c r="B49" s="25">
        <f>B50</f>
        <v>0</v>
      </c>
      <c r="C49" s="80" t="s">
        <v>300</v>
      </c>
      <c r="D49" s="240"/>
      <c r="E49" s="25">
        <f>E50</f>
        <v>0</v>
      </c>
      <c r="F49" s="25">
        <f>F50</f>
        <v>0</v>
      </c>
      <c r="G49" s="155" t="e">
        <f t="shared" si="2"/>
        <v>#DIV/0!</v>
      </c>
    </row>
    <row r="50" spans="1:7" s="51" customFormat="1" ht="23.25" hidden="1" customHeight="1">
      <c r="A50" s="156">
        <v>0</v>
      </c>
      <c r="B50" s="156">
        <v>0</v>
      </c>
      <c r="C50" s="52" t="s">
        <v>15</v>
      </c>
      <c r="D50" s="240"/>
      <c r="E50" s="156">
        <v>0</v>
      </c>
      <c r="G50" s="155" t="e">
        <f t="shared" si="2"/>
        <v>#DIV/0!</v>
      </c>
    </row>
    <row r="51" spans="1:7" s="51" customFormat="1" ht="23.25" customHeight="1">
      <c r="A51" s="25">
        <f>A52</f>
        <v>0</v>
      </c>
      <c r="B51" s="25">
        <f>B52</f>
        <v>0</v>
      </c>
      <c r="C51" s="80" t="s">
        <v>16</v>
      </c>
      <c r="D51" s="240"/>
      <c r="E51" s="25">
        <f>E52</f>
        <v>0</v>
      </c>
      <c r="F51" s="25">
        <f>F52</f>
        <v>0</v>
      </c>
      <c r="G51" s="155" t="e">
        <f t="shared" si="2"/>
        <v>#DIV/0!</v>
      </c>
    </row>
    <row r="52" spans="1:7" s="51" customFormat="1" ht="23.25" hidden="1" customHeight="1">
      <c r="A52" s="156">
        <v>0</v>
      </c>
      <c r="B52" s="156">
        <v>0</v>
      </c>
      <c r="C52" s="52" t="s">
        <v>17</v>
      </c>
      <c r="D52" s="240"/>
      <c r="E52" s="156">
        <v>0</v>
      </c>
      <c r="G52" s="155" t="e">
        <f t="shared" si="2"/>
        <v>#DIV/0!</v>
      </c>
    </row>
    <row r="53" spans="1:7" s="51" customFormat="1" ht="23.25" customHeight="1">
      <c r="A53" s="25">
        <f>SUM(A54)</f>
        <v>0</v>
      </c>
      <c r="B53" s="25">
        <f>SUM(B54)</f>
        <v>0</v>
      </c>
      <c r="C53" s="54" t="s">
        <v>923</v>
      </c>
      <c r="D53" s="43"/>
      <c r="E53" s="25">
        <f>SUM(E54)</f>
        <v>0</v>
      </c>
      <c r="F53" s="25" t="e">
        <f>SUM(#REF!,#REF!,F54)</f>
        <v>#REF!</v>
      </c>
      <c r="G53" s="155" t="e">
        <f t="shared" si="2"/>
        <v>#DIV/0!</v>
      </c>
    </row>
    <row r="54" spans="1:7" s="51" customFormat="1" ht="23.25" customHeight="1">
      <c r="A54" s="115">
        <f>A55</f>
        <v>0</v>
      </c>
      <c r="B54" s="115">
        <f>B55</f>
        <v>0</v>
      </c>
      <c r="C54" s="80" t="s">
        <v>21</v>
      </c>
      <c r="D54" s="43"/>
      <c r="E54" s="115">
        <f>E55</f>
        <v>0</v>
      </c>
      <c r="F54" s="25">
        <f>F55</f>
        <v>0</v>
      </c>
      <c r="G54" s="155" t="e">
        <f t="shared" si="2"/>
        <v>#DIV/0!</v>
      </c>
    </row>
    <row r="55" spans="1:7" s="51" customFormat="1" ht="23.25" hidden="1" customHeight="1">
      <c r="A55" s="156">
        <v>0</v>
      </c>
      <c r="B55" s="156">
        <v>0</v>
      </c>
      <c r="C55" s="52" t="s">
        <v>22</v>
      </c>
      <c r="D55" s="43"/>
      <c r="E55" s="156">
        <v>0</v>
      </c>
      <c r="G55" s="155" t="e">
        <f t="shared" si="2"/>
        <v>#DIV/0!</v>
      </c>
    </row>
    <row r="56" spans="1:7" s="51" customFormat="1" ht="23.25" customHeight="1">
      <c r="A56" s="156"/>
      <c r="B56" s="156"/>
      <c r="C56" s="52"/>
      <c r="D56" s="43"/>
      <c r="E56" s="156"/>
      <c r="G56" s="155"/>
    </row>
    <row r="57" spans="1:7" s="51" customFormat="1" ht="23.25" customHeight="1">
      <c r="A57" s="156"/>
      <c r="B57" s="156"/>
      <c r="C57" s="52"/>
      <c r="D57" s="43"/>
      <c r="E57" s="156"/>
      <c r="G57" s="155"/>
    </row>
    <row r="58" spans="1:7" s="51" customFormat="1" ht="23.25" customHeight="1">
      <c r="A58" s="156"/>
      <c r="B58" s="156"/>
      <c r="C58" s="52"/>
      <c r="D58" s="43"/>
      <c r="E58" s="156"/>
      <c r="G58" s="155"/>
    </row>
    <row r="59" spans="1:7" s="51" customFormat="1" ht="23.25" customHeight="1">
      <c r="A59" s="156"/>
      <c r="B59" s="156"/>
      <c r="C59" s="52"/>
      <c r="D59" s="43"/>
      <c r="E59" s="156"/>
      <c r="G59" s="155"/>
    </row>
    <row r="60" spans="1:7" s="51" customFormat="1" ht="23.25" customHeight="1">
      <c r="A60" s="156"/>
      <c r="B60" s="156"/>
      <c r="C60" s="52"/>
      <c r="D60" s="43"/>
      <c r="E60" s="156"/>
      <c r="G60" s="155"/>
    </row>
    <row r="61" spans="1:7" s="51" customFormat="1" ht="23.25" customHeight="1">
      <c r="A61" s="156"/>
      <c r="B61" s="156"/>
      <c r="C61" s="52"/>
      <c r="D61" s="43"/>
      <c r="E61" s="156"/>
      <c r="G61" s="155"/>
    </row>
    <row r="62" spans="1:7" s="51" customFormat="1" ht="23.25" customHeight="1">
      <c r="A62" s="156"/>
      <c r="B62" s="156"/>
      <c r="C62" s="52"/>
      <c r="D62" s="43"/>
      <c r="E62" s="156"/>
      <c r="G62" s="155"/>
    </row>
    <row r="63" spans="1:7" s="51" customFormat="1" ht="23.25" customHeight="1">
      <c r="A63" s="156"/>
      <c r="B63" s="156"/>
      <c r="C63" s="52"/>
      <c r="D63" s="43"/>
      <c r="E63" s="156"/>
      <c r="G63" s="155"/>
    </row>
    <row r="64" spans="1:7" s="51" customFormat="1" ht="23.25" customHeight="1">
      <c r="A64" s="156"/>
      <c r="B64" s="156"/>
      <c r="C64" s="52"/>
      <c r="D64" s="43"/>
      <c r="E64" s="156"/>
      <c r="G64" s="155"/>
    </row>
    <row r="65" spans="1:7" s="51" customFormat="1" ht="23.25" customHeight="1">
      <c r="A65" s="156"/>
      <c r="B65" s="156"/>
      <c r="C65" s="52"/>
      <c r="D65" s="43"/>
      <c r="E65" s="156"/>
      <c r="G65" s="155"/>
    </row>
    <row r="66" spans="1:7" s="51" customFormat="1" ht="23.25" customHeight="1">
      <c r="A66" s="156"/>
      <c r="B66" s="156"/>
      <c r="C66" s="52"/>
      <c r="D66" s="43"/>
      <c r="E66" s="156"/>
      <c r="G66" s="155"/>
    </row>
    <row r="67" spans="1:7" s="51" customFormat="1" ht="23.25" customHeight="1">
      <c r="A67" s="156"/>
      <c r="B67" s="156"/>
      <c r="C67" s="52"/>
      <c r="D67" s="43"/>
      <c r="E67" s="156"/>
      <c r="G67" s="155"/>
    </row>
    <row r="68" spans="1:7" s="51" customFormat="1" ht="23.25" customHeight="1">
      <c r="A68" s="156"/>
      <c r="B68" s="156"/>
      <c r="C68" s="52"/>
      <c r="D68" s="43"/>
      <c r="E68" s="156"/>
      <c r="G68" s="155"/>
    </row>
    <row r="69" spans="1:7" s="51" customFormat="1" ht="23.25" customHeight="1">
      <c r="A69" s="156"/>
      <c r="B69" s="156"/>
      <c r="C69" s="52"/>
      <c r="D69" s="43"/>
      <c r="E69" s="156"/>
      <c r="G69" s="155"/>
    </row>
    <row r="70" spans="1:7" s="51" customFormat="1" ht="23.25" customHeight="1">
      <c r="A70" s="156"/>
      <c r="B70" s="156"/>
      <c r="C70" s="52"/>
      <c r="D70" s="43"/>
      <c r="E70" s="156"/>
      <c r="G70" s="155"/>
    </row>
    <row r="71" spans="1:7" s="51" customFormat="1" ht="23.25" customHeight="1">
      <c r="A71" s="156"/>
      <c r="B71" s="156"/>
      <c r="C71" s="52"/>
      <c r="D71" s="43"/>
      <c r="E71" s="156"/>
      <c r="G71" s="155"/>
    </row>
    <row r="72" spans="1:7" s="51" customFormat="1" ht="23.25" customHeight="1">
      <c r="A72" s="156"/>
      <c r="B72" s="156"/>
      <c r="C72" s="52"/>
      <c r="D72" s="43"/>
      <c r="E72" s="156"/>
      <c r="G72" s="155"/>
    </row>
    <row r="73" spans="1:7" s="51" customFormat="1" ht="23.25" customHeight="1">
      <c r="A73" s="156"/>
      <c r="B73" s="156"/>
      <c r="C73" s="52"/>
      <c r="D73" s="43"/>
      <c r="E73" s="156"/>
      <c r="G73" s="155"/>
    </row>
    <row r="74" spans="1:7" ht="23.25" customHeight="1">
      <c r="A74" s="25"/>
      <c r="B74" s="25"/>
      <c r="C74" s="81"/>
      <c r="D74" s="82"/>
      <c r="E74" s="25"/>
    </row>
    <row r="75" spans="1:7" ht="23.25" customHeight="1" thickBot="1">
      <c r="A75" s="477">
        <f>A8</f>
        <v>0</v>
      </c>
      <c r="B75" s="477">
        <f>B8</f>
        <v>0</v>
      </c>
      <c r="C75" s="1089" t="s">
        <v>18</v>
      </c>
      <c r="D75" s="1090"/>
      <c r="E75" s="477">
        <f>E8</f>
        <v>1099</v>
      </c>
      <c r="F75" s="83"/>
    </row>
    <row r="76" spans="1:7">
      <c r="A76" s="84"/>
      <c r="B76" s="84"/>
      <c r="C76" s="118"/>
      <c r="D76" s="84"/>
      <c r="E76" s="158"/>
    </row>
  </sheetData>
  <mergeCells count="15">
    <mergeCell ref="A1:E1"/>
    <mergeCell ref="A2:E2"/>
    <mergeCell ref="A3:E3"/>
    <mergeCell ref="A4:E4"/>
    <mergeCell ref="C75:D75"/>
    <mergeCell ref="A6:A7"/>
    <mergeCell ref="E6:E7"/>
    <mergeCell ref="C6:D7"/>
    <mergeCell ref="B6:B7"/>
    <mergeCell ref="C46:D46"/>
    <mergeCell ref="C40:D40"/>
    <mergeCell ref="C30:D30"/>
    <mergeCell ref="C36:D36"/>
    <mergeCell ref="C31:D31"/>
    <mergeCell ref="A5:E5"/>
  </mergeCells>
  <phoneticPr fontId="2" type="noConversion"/>
  <printOptions horizontalCentered="1"/>
  <pageMargins left="0.6692913385826772" right="0.6692913385826772" top="0.59055118110236227" bottom="0.78740157480314965" header="0.51181102362204722" footer="0.51181102362204722"/>
  <pageSetup paperSize="9" scale="97" firstPageNumber="26" orientation="portrait" useFirstPageNumber="1" r:id="rId1"/>
  <headerFooter alignWithMargins="0">
    <oddFooter>&amp;C&amp;"Arial Unicode MS,標準"&amp;P</oddFooter>
  </headerFooter>
</worksheet>
</file>

<file path=xl/worksheets/sheet22.xml><?xml version="1.0" encoding="utf-8"?>
<worksheet xmlns="http://schemas.openxmlformats.org/spreadsheetml/2006/main" xmlns:r="http://schemas.openxmlformats.org/officeDocument/2006/relationships">
  <sheetPr codeName="Sheet21">
    <tabColor rgb="FFFFFFCC"/>
  </sheetPr>
  <dimension ref="A1:F34"/>
  <sheetViews>
    <sheetView topLeftCell="A20" zoomScaleNormal="100" workbookViewId="0">
      <selection activeCell="G32" sqref="G32"/>
    </sheetView>
  </sheetViews>
  <sheetFormatPr defaultColWidth="9" defaultRowHeight="16.2"/>
  <cols>
    <col min="1" max="1" width="16.88671875" style="34" customWidth="1"/>
    <col min="2" max="2" width="17" style="34" customWidth="1"/>
    <col min="3" max="3" width="7.6640625" style="34" customWidth="1"/>
    <col min="4" max="4" width="33.109375" style="34" customWidth="1"/>
    <col min="5" max="5" width="17.6640625" style="34" customWidth="1"/>
    <col min="6" max="6" width="8.77734375" style="34" hidden="1" customWidth="1"/>
    <col min="7" max="16384" width="9" style="34"/>
  </cols>
  <sheetData>
    <row r="1" spans="1:6" ht="24.6">
      <c r="A1" s="992" t="s">
        <v>152</v>
      </c>
      <c r="B1" s="992"/>
      <c r="C1" s="992"/>
      <c r="D1" s="992"/>
      <c r="E1" s="992"/>
      <c r="F1" s="36"/>
    </row>
    <row r="2" spans="1:6" ht="22.2">
      <c r="A2" s="1005" t="s">
        <v>153</v>
      </c>
      <c r="B2" s="1005"/>
      <c r="C2" s="1005"/>
      <c r="D2" s="1005"/>
      <c r="E2" s="1005"/>
      <c r="F2" s="37"/>
    </row>
    <row r="3" spans="1:6" ht="22.2">
      <c r="A3" s="1004" t="s">
        <v>130</v>
      </c>
      <c r="B3" s="1004"/>
      <c r="C3" s="1004"/>
      <c r="D3" s="1004"/>
      <c r="E3" s="1004"/>
      <c r="F3" s="38"/>
    </row>
    <row r="4" spans="1:6" ht="19.8">
      <c r="A4" s="1082" t="s">
        <v>1047</v>
      </c>
      <c r="B4" s="1082"/>
      <c r="C4" s="1082"/>
      <c r="D4" s="1082"/>
      <c r="E4" s="1082"/>
      <c r="F4" s="39"/>
    </row>
    <row r="5" spans="1:6" ht="16.8" thickBot="1">
      <c r="C5" s="39"/>
      <c r="D5" s="39"/>
      <c r="E5" s="40" t="s">
        <v>312</v>
      </c>
      <c r="F5" s="41"/>
    </row>
    <row r="6" spans="1:6" s="45" customFormat="1" ht="21" customHeight="1">
      <c r="A6" s="1028" t="s">
        <v>168</v>
      </c>
      <c r="B6" s="1057" t="s">
        <v>159</v>
      </c>
      <c r="C6" s="1057" t="s">
        <v>155</v>
      </c>
      <c r="D6" s="1057"/>
      <c r="E6" s="1133" t="s">
        <v>157</v>
      </c>
      <c r="F6" s="74"/>
    </row>
    <row r="7" spans="1:6" s="45" customFormat="1" ht="21" customHeight="1" thickBot="1">
      <c r="A7" s="1029"/>
      <c r="B7" s="1058"/>
      <c r="C7" s="1058"/>
      <c r="D7" s="1058"/>
      <c r="E7" s="1134"/>
      <c r="F7" s="75"/>
    </row>
    <row r="8" spans="1:6" s="45" customFormat="1" ht="25.05" customHeight="1">
      <c r="A8" s="896">
        <f>A9</f>
        <v>12</v>
      </c>
      <c r="B8" s="897">
        <v>50</v>
      </c>
      <c r="C8" s="1136" t="s">
        <v>80</v>
      </c>
      <c r="D8" s="1137"/>
      <c r="E8" s="916">
        <f>E9</f>
        <v>50</v>
      </c>
      <c r="F8" s="211"/>
    </row>
    <row r="9" spans="1:6" s="372" customFormat="1" ht="25.05" customHeight="1">
      <c r="A9" s="507">
        <f>'24.其他業務外費用明細7級(X) '!A8</f>
        <v>12</v>
      </c>
      <c r="B9" s="366">
        <v>50</v>
      </c>
      <c r="C9" s="1115" t="s">
        <v>81</v>
      </c>
      <c r="D9" s="1135"/>
      <c r="E9" s="916">
        <f>SUM(E10,E17,E20,E23,E25)</f>
        <v>50</v>
      </c>
      <c r="F9" s="379" t="e">
        <f>F14</f>
        <v>#REF!</v>
      </c>
    </row>
    <row r="10" spans="1:6" s="368" customFormat="1" ht="25.05" customHeight="1">
      <c r="A10" s="909">
        <f>SUM(A11:A14)</f>
        <v>0</v>
      </c>
      <c r="B10" s="910">
        <v>0</v>
      </c>
      <c r="C10" s="522" t="s">
        <v>82</v>
      </c>
      <c r="D10" s="373"/>
      <c r="E10" s="917">
        <f>SUM(E11:E14)</f>
        <v>0</v>
      </c>
      <c r="F10" s="379"/>
    </row>
    <row r="11" spans="1:6" s="368" customFormat="1" ht="25.05" customHeight="1">
      <c r="A11" s="911">
        <f>'24.其他業務外費用明細7級(X) '!A10</f>
        <v>0</v>
      </c>
      <c r="B11" s="374">
        <v>0</v>
      </c>
      <c r="C11" s="481" t="s">
        <v>83</v>
      </c>
      <c r="D11" s="369"/>
      <c r="E11" s="917">
        <f>'24.其他業務外費用明細7級(X) '!E10</f>
        <v>0</v>
      </c>
      <c r="F11" s="379"/>
    </row>
    <row r="12" spans="1:6" s="368" customFormat="1" ht="25.05" hidden="1" customHeight="1">
      <c r="A12" s="911">
        <f>'24.其他業務外費用明細7級(X) '!A13</f>
        <v>0</v>
      </c>
      <c r="B12" s="374">
        <v>0</v>
      </c>
      <c r="C12" s="481" t="s">
        <v>650</v>
      </c>
      <c r="D12" s="369"/>
      <c r="E12" s="917">
        <f>'24.其他業務外費用明細7級(X) '!E13</f>
        <v>0</v>
      </c>
      <c r="F12" s="379"/>
    </row>
    <row r="13" spans="1:6" s="368" customFormat="1" ht="25.05" customHeight="1">
      <c r="A13" s="911">
        <f>'24.其他業務外費用明細7級(X) '!A15</f>
        <v>0</v>
      </c>
      <c r="B13" s="374">
        <v>0</v>
      </c>
      <c r="C13" s="481" t="s">
        <v>84</v>
      </c>
      <c r="D13" s="369"/>
      <c r="E13" s="917">
        <f>'24.其他業務外費用明細7級(X) '!E15</f>
        <v>0</v>
      </c>
      <c r="F13" s="379"/>
    </row>
    <row r="14" spans="1:6" s="372" customFormat="1" ht="25.05" customHeight="1">
      <c r="A14" s="912">
        <f>'24.其他業務外費用明細7級(X) '!A20</f>
        <v>0</v>
      </c>
      <c r="B14" s="913">
        <v>0</v>
      </c>
      <c r="C14" s="481" t="s">
        <v>85</v>
      </c>
      <c r="D14" s="203"/>
      <c r="E14" s="918">
        <f>'24.其他業務外費用明細7級(X) '!E20</f>
        <v>0</v>
      </c>
      <c r="F14" s="367" t="e">
        <f>#REF!</f>
        <v>#REF!</v>
      </c>
    </row>
    <row r="15" spans="1:6" s="380" customFormat="1" ht="25.05" customHeight="1">
      <c r="A15" s="914">
        <f>SUM(A16)</f>
        <v>0</v>
      </c>
      <c r="B15" s="244">
        <v>0</v>
      </c>
      <c r="C15" s="522" t="s">
        <v>46</v>
      </c>
      <c r="D15" s="523"/>
      <c r="E15" s="919">
        <f>SUM(E16:F16)</f>
        <v>0</v>
      </c>
    </row>
    <row r="16" spans="1:6" s="380" customFormat="1" ht="25.05" customHeight="1">
      <c r="A16" s="381">
        <f>'24.其他業務外費用明細7級(X) '!A24</f>
        <v>0</v>
      </c>
      <c r="B16" s="244">
        <v>0</v>
      </c>
      <c r="C16" s="481" t="s">
        <v>47</v>
      </c>
      <c r="D16" s="369"/>
      <c r="E16" s="378">
        <f>'24.其他業務外費用明細7級(X) '!E24</f>
        <v>0</v>
      </c>
    </row>
    <row r="17" spans="1:5" s="380" customFormat="1" ht="25.05" customHeight="1">
      <c r="A17" s="914">
        <f>SUM(A18:A19)</f>
        <v>0</v>
      </c>
      <c r="B17" s="915">
        <v>0</v>
      </c>
      <c r="C17" s="522" t="s">
        <v>86</v>
      </c>
      <c r="D17" s="523"/>
      <c r="E17" s="919">
        <f>SUM(E18:E19)</f>
        <v>0</v>
      </c>
    </row>
    <row r="18" spans="1:5" s="380" customFormat="1" ht="25.05" customHeight="1">
      <c r="A18" s="381">
        <f>'24.其他業務外費用明細7級(X) '!A28</f>
        <v>0</v>
      </c>
      <c r="B18" s="244">
        <v>0</v>
      </c>
      <c r="C18" s="481" t="s">
        <v>87</v>
      </c>
      <c r="D18" s="369"/>
      <c r="E18" s="378">
        <f>'24.其他業務外費用明細7級(X) '!E28</f>
        <v>0</v>
      </c>
    </row>
    <row r="19" spans="1:5" s="380" customFormat="1" ht="25.05" customHeight="1">
      <c r="A19" s="381">
        <f>'24.其他業務外費用明細7級(X) '!A30</f>
        <v>0</v>
      </c>
      <c r="B19" s="244">
        <v>0</v>
      </c>
      <c r="C19" s="481" t="s">
        <v>88</v>
      </c>
      <c r="D19" s="369"/>
      <c r="E19" s="378">
        <f>'24.其他業務外費用明細7級(X) '!E30</f>
        <v>0</v>
      </c>
    </row>
    <row r="20" spans="1:5" s="380" customFormat="1" ht="25.05" customHeight="1">
      <c r="A20" s="507">
        <f>SUM(A21:A22)</f>
        <v>0</v>
      </c>
      <c r="B20" s="366">
        <v>0</v>
      </c>
      <c r="C20" s="522" t="s">
        <v>922</v>
      </c>
      <c r="D20" s="373"/>
      <c r="E20" s="378">
        <f>SUM(E21:E22)</f>
        <v>0</v>
      </c>
    </row>
    <row r="21" spans="1:5" s="380" customFormat="1" ht="25.05" customHeight="1">
      <c r="A21" s="381">
        <f>'24.其他業務外費用明細7級(X) '!A33</f>
        <v>0</v>
      </c>
      <c r="B21" s="244">
        <v>0</v>
      </c>
      <c r="C21" s="481" t="s">
        <v>696</v>
      </c>
      <c r="D21" s="369"/>
      <c r="E21" s="378">
        <f>'24.其他業務外費用明細7級(X) '!E34</f>
        <v>0</v>
      </c>
    </row>
    <row r="22" spans="1:5" s="380" customFormat="1" ht="25.05" customHeight="1">
      <c r="A22" s="381">
        <f>'24.其他業務外費用明細7級(X) '!A35</f>
        <v>0</v>
      </c>
      <c r="B22" s="244">
        <v>0</v>
      </c>
      <c r="C22" s="481" t="s">
        <v>89</v>
      </c>
      <c r="D22" s="369"/>
      <c r="E22" s="378">
        <f>'24.其他業務外費用明細7級(X) '!E35</f>
        <v>0</v>
      </c>
    </row>
    <row r="23" spans="1:5" s="380" customFormat="1" ht="25.05" customHeight="1">
      <c r="A23" s="381">
        <f>'24.其他業務外費用明細7級(X) '!A37</f>
        <v>0</v>
      </c>
      <c r="B23" s="244">
        <v>0</v>
      </c>
      <c r="C23" s="54" t="s">
        <v>697</v>
      </c>
      <c r="D23" s="369"/>
      <c r="E23" s="378">
        <f>'24.其他業務外費用明細7級(X) '!E37</f>
        <v>0</v>
      </c>
    </row>
    <row r="24" spans="1:5" s="380" customFormat="1" ht="25.05" customHeight="1">
      <c r="A24" s="381">
        <f>'24.其他業務外費用明細7級(X) '!A38</f>
        <v>0</v>
      </c>
      <c r="B24" s="244">
        <v>0</v>
      </c>
      <c r="C24" s="481" t="s">
        <v>698</v>
      </c>
      <c r="D24" s="383"/>
      <c r="E24" s="378">
        <f>'24.其他業務外費用明細7級(X) '!E37</f>
        <v>0</v>
      </c>
    </row>
    <row r="25" spans="1:5" s="380" customFormat="1" ht="25.05" customHeight="1">
      <c r="A25" s="507">
        <f>A26</f>
        <v>12</v>
      </c>
      <c r="B25" s="366">
        <v>50</v>
      </c>
      <c r="C25" s="54" t="s">
        <v>113</v>
      </c>
      <c r="D25" s="369"/>
      <c r="E25" s="916">
        <f>'24.其他業務外費用明細7級(X) '!E40</f>
        <v>50</v>
      </c>
    </row>
    <row r="26" spans="1:5" s="380" customFormat="1" ht="25.05" customHeight="1">
      <c r="A26" s="381">
        <f>'24.其他業務外費用明細7級(X) '!A42</f>
        <v>12</v>
      </c>
      <c r="B26" s="244">
        <v>50</v>
      </c>
      <c r="C26" s="481" t="s">
        <v>699</v>
      </c>
      <c r="D26" s="383"/>
      <c r="E26" s="378">
        <f>'24.其他業務外費用明細7級(X) '!E41</f>
        <v>50</v>
      </c>
    </row>
    <row r="27" spans="1:5" s="380" customFormat="1" ht="25.05" customHeight="1">
      <c r="A27" s="381"/>
      <c r="B27" s="244"/>
      <c r="C27" s="382"/>
      <c r="D27" s="383"/>
      <c r="E27" s="378"/>
    </row>
    <row r="28" spans="1:5" s="380" customFormat="1" ht="25.05" customHeight="1">
      <c r="A28" s="381"/>
      <c r="B28" s="244"/>
      <c r="C28" s="382"/>
      <c r="D28" s="383"/>
      <c r="E28" s="378"/>
    </row>
    <row r="29" spans="1:5" s="380" customFormat="1" ht="25.05" customHeight="1">
      <c r="A29" s="381"/>
      <c r="B29" s="244"/>
      <c r="C29" s="382"/>
      <c r="D29" s="383"/>
      <c r="E29" s="378"/>
    </row>
    <row r="30" spans="1:5" s="380" customFormat="1" ht="25.05" customHeight="1">
      <c r="A30" s="381"/>
      <c r="B30" s="244"/>
      <c r="C30" s="382"/>
      <c r="D30" s="383"/>
      <c r="E30" s="378"/>
    </row>
    <row r="31" spans="1:5" s="380" customFormat="1" ht="25.05" customHeight="1">
      <c r="A31" s="381"/>
      <c r="B31" s="244"/>
      <c r="C31" s="382"/>
      <c r="D31" s="383"/>
      <c r="E31" s="378"/>
    </row>
    <row r="32" spans="1:5" s="380" customFormat="1" ht="25.05" customHeight="1">
      <c r="A32" s="381"/>
      <c r="B32" s="244"/>
      <c r="C32" s="382"/>
      <c r="D32" s="383"/>
      <c r="E32" s="378"/>
    </row>
    <row r="33" spans="1:6" s="380" customFormat="1" ht="25.05" customHeight="1">
      <c r="A33" s="381"/>
      <c r="B33" s="244"/>
      <c r="C33" s="382"/>
      <c r="D33" s="383"/>
      <c r="E33" s="378"/>
    </row>
    <row r="34" spans="1:6" s="380" customFormat="1" ht="31.2" customHeight="1" thickBot="1">
      <c r="A34" s="906">
        <f>A8</f>
        <v>12</v>
      </c>
      <c r="B34" s="907">
        <f>B8</f>
        <v>50</v>
      </c>
      <c r="C34" s="1116" t="s">
        <v>467</v>
      </c>
      <c r="D34" s="1132"/>
      <c r="E34" s="908">
        <f>E8</f>
        <v>50</v>
      </c>
      <c r="F34" s="384"/>
    </row>
  </sheetData>
  <mergeCells count="11">
    <mergeCell ref="A1:E1"/>
    <mergeCell ref="A2:E2"/>
    <mergeCell ref="A3:E3"/>
    <mergeCell ref="A4:E4"/>
    <mergeCell ref="C34:D34"/>
    <mergeCell ref="A6:A7"/>
    <mergeCell ref="E6:E7"/>
    <mergeCell ref="C6:D7"/>
    <mergeCell ref="B6:B7"/>
    <mergeCell ref="C9:D9"/>
    <mergeCell ref="C8:D8"/>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9" orientation="portrait" blackAndWhite="1" useFirstPageNumber="1" r:id="rId1"/>
  <headerFooter scaleWithDoc="0" alignWithMargins="0">
    <oddFooter>&amp;C&amp;"Arial Unicode MS,標準"&amp;P</oddFooter>
  </headerFooter>
</worksheet>
</file>

<file path=xl/worksheets/sheet23.xml><?xml version="1.0" encoding="utf-8"?>
<worksheet xmlns="http://schemas.openxmlformats.org/spreadsheetml/2006/main" xmlns:r="http://schemas.openxmlformats.org/officeDocument/2006/relationships">
  <sheetPr codeName="Sheet22"/>
  <dimension ref="A1:G70"/>
  <sheetViews>
    <sheetView topLeftCell="A30" zoomScaleNormal="100" workbookViewId="0">
      <selection activeCell="A43" sqref="A43"/>
    </sheetView>
  </sheetViews>
  <sheetFormatPr defaultColWidth="9" defaultRowHeight="16.2"/>
  <cols>
    <col min="1" max="2" width="15.6640625" style="34" customWidth="1"/>
    <col min="3" max="3" width="7.6640625" style="34" customWidth="1"/>
    <col min="4" max="4" width="34.109375" style="34" customWidth="1"/>
    <col min="5" max="5" width="15.6640625" style="34" customWidth="1"/>
    <col min="6" max="6" width="8.77734375" style="34" hidden="1" customWidth="1"/>
    <col min="7" max="16384" width="9" style="34"/>
  </cols>
  <sheetData>
    <row r="1" spans="1:6" ht="24.6">
      <c r="A1" s="992" t="s">
        <v>473</v>
      </c>
      <c r="B1" s="992"/>
      <c r="C1" s="992"/>
      <c r="D1" s="992"/>
      <c r="E1" s="992"/>
      <c r="F1" s="36"/>
    </row>
    <row r="2" spans="1:6" ht="22.2">
      <c r="A2" s="1005" t="s">
        <v>153</v>
      </c>
      <c r="B2" s="1005"/>
      <c r="C2" s="1005"/>
      <c r="D2" s="1005"/>
      <c r="E2" s="1005"/>
      <c r="F2" s="37"/>
    </row>
    <row r="3" spans="1:6" ht="22.2">
      <c r="A3" s="1004" t="s">
        <v>130</v>
      </c>
      <c r="B3" s="1004"/>
      <c r="C3" s="1004"/>
      <c r="D3" s="1004"/>
      <c r="E3" s="1004"/>
      <c r="F3" s="38"/>
    </row>
    <row r="4" spans="1:6" ht="19.8">
      <c r="A4" s="1082" t="s">
        <v>860</v>
      </c>
      <c r="B4" s="1082"/>
      <c r="C4" s="1082"/>
      <c r="D4" s="1082"/>
      <c r="E4" s="1082"/>
      <c r="F4" s="39"/>
    </row>
    <row r="5" spans="1:6" ht="16.8" thickBot="1">
      <c r="A5" s="1131" t="s">
        <v>678</v>
      </c>
      <c r="B5" s="1131"/>
      <c r="C5" s="1131"/>
      <c r="D5" s="1131"/>
      <c r="E5" s="1131"/>
      <c r="F5" s="41"/>
    </row>
    <row r="6" spans="1:6" s="45" customFormat="1" ht="21" customHeight="1">
      <c r="A6" s="1138" t="s">
        <v>168</v>
      </c>
      <c r="B6" s="1138" t="s">
        <v>159</v>
      </c>
      <c r="C6" s="1053" t="s">
        <v>155</v>
      </c>
      <c r="D6" s="1133"/>
      <c r="E6" s="1138" t="s">
        <v>157</v>
      </c>
      <c r="F6" s="74"/>
    </row>
    <row r="7" spans="1:6" s="45" customFormat="1" ht="21" customHeight="1" thickBot="1">
      <c r="A7" s="1139"/>
      <c r="B7" s="1139"/>
      <c r="C7" s="1140"/>
      <c r="D7" s="1141"/>
      <c r="E7" s="1139"/>
      <c r="F7" s="75"/>
    </row>
    <row r="8" spans="1:6" s="51" customFormat="1" ht="23.25" customHeight="1">
      <c r="A8" s="25">
        <f>A9+A23+A27+A32+A37+A40</f>
        <v>12</v>
      </c>
      <c r="B8" s="25">
        <f>SUM(B9,B27,B32)</f>
        <v>0</v>
      </c>
      <c r="C8" s="1142" t="s">
        <v>135</v>
      </c>
      <c r="D8" s="1095"/>
      <c r="E8" s="25">
        <f>SUM(E9,E27,E32)</f>
        <v>0</v>
      </c>
      <c r="F8" s="25">
        <f>F20</f>
        <v>0</v>
      </c>
    </row>
    <row r="9" spans="1:6" s="48" customFormat="1" ht="23.25" customHeight="1">
      <c r="A9" s="115">
        <f>A10+A15+A20+A13</f>
        <v>0</v>
      </c>
      <c r="B9" s="115">
        <f>B10+B15+B20+B13</f>
        <v>0</v>
      </c>
      <c r="C9" s="54" t="s">
        <v>313</v>
      </c>
      <c r="D9" s="119"/>
      <c r="E9" s="115">
        <f>E10+E15+E20+E13</f>
        <v>0</v>
      </c>
      <c r="F9" s="25"/>
    </row>
    <row r="10" spans="1:6" s="48" customFormat="1" ht="23.25" customHeight="1">
      <c r="A10" s="115">
        <f>SUM(A11:A12)</f>
        <v>0</v>
      </c>
      <c r="B10" s="115">
        <f>SUM(B11:B12)</f>
        <v>0</v>
      </c>
      <c r="C10" s="201" t="s">
        <v>31</v>
      </c>
      <c r="D10" s="42"/>
      <c r="E10" s="115">
        <f>SUM(E11:E12)</f>
        <v>0</v>
      </c>
      <c r="F10" s="25"/>
    </row>
    <row r="11" spans="1:6" s="48" customFormat="1" ht="23.25" customHeight="1">
      <c r="A11" s="25"/>
      <c r="B11" s="115">
        <v>0</v>
      </c>
      <c r="C11" s="49" t="s">
        <v>32</v>
      </c>
      <c r="D11" s="42"/>
      <c r="E11" s="115">
        <v>0</v>
      </c>
      <c r="F11" s="25"/>
    </row>
    <row r="12" spans="1:6" s="48" customFormat="1" ht="23.25" customHeight="1">
      <c r="A12" s="25"/>
      <c r="B12" s="115">
        <v>0</v>
      </c>
      <c r="C12" s="49" t="s">
        <v>33</v>
      </c>
      <c r="D12" s="42"/>
      <c r="E12" s="115">
        <v>0</v>
      </c>
      <c r="F12" s="25"/>
    </row>
    <row r="13" spans="1:6" s="48" customFormat="1" ht="23.25" hidden="1" customHeight="1">
      <c r="A13" s="115">
        <f>SUM(A14)</f>
        <v>0</v>
      </c>
      <c r="B13" s="115">
        <f>SUM(B14)</f>
        <v>0</v>
      </c>
      <c r="C13" s="86" t="s">
        <v>651</v>
      </c>
      <c r="D13" s="43"/>
      <c r="E13" s="115">
        <f>SUM(E14)</f>
        <v>0</v>
      </c>
      <c r="F13" s="25"/>
    </row>
    <row r="14" spans="1:6" s="48" customFormat="1" ht="23.25" hidden="1" customHeight="1">
      <c r="A14" s="25">
        <v>0</v>
      </c>
      <c r="B14" s="115">
        <v>0</v>
      </c>
      <c r="C14" s="44" t="s">
        <v>34</v>
      </c>
      <c r="D14" s="43"/>
      <c r="E14" s="115">
        <v>0</v>
      </c>
      <c r="F14" s="25"/>
    </row>
    <row r="15" spans="1:6" s="48" customFormat="1" ht="23.25" customHeight="1">
      <c r="A15" s="115">
        <f>SUM(A16:A19)</f>
        <v>0</v>
      </c>
      <c r="B15" s="115">
        <f>SUM(B16:B19)</f>
        <v>0</v>
      </c>
      <c r="C15" s="86" t="s">
        <v>35</v>
      </c>
      <c r="D15" s="43"/>
      <c r="E15" s="115">
        <f>SUM(E16:E19)</f>
        <v>0</v>
      </c>
      <c r="F15" s="25"/>
    </row>
    <row r="16" spans="1:6" s="48" customFormat="1" ht="23.25" customHeight="1">
      <c r="A16" s="25"/>
      <c r="B16" s="115">
        <v>0</v>
      </c>
      <c r="C16" s="44" t="s">
        <v>36</v>
      </c>
      <c r="D16" s="43"/>
      <c r="E16" s="115">
        <v>0</v>
      </c>
      <c r="F16" s="25"/>
    </row>
    <row r="17" spans="1:7" s="48" customFormat="1" ht="23.25" hidden="1" customHeight="1">
      <c r="A17" s="25">
        <v>0</v>
      </c>
      <c r="B17" s="115">
        <v>0</v>
      </c>
      <c r="C17" s="480" t="s">
        <v>37</v>
      </c>
      <c r="D17" s="210"/>
      <c r="E17" s="115">
        <v>0</v>
      </c>
      <c r="F17" s="25"/>
    </row>
    <row r="18" spans="1:7" s="48" customFormat="1" ht="23.25" customHeight="1">
      <c r="A18" s="25"/>
      <c r="B18" s="115">
        <v>0</v>
      </c>
      <c r="C18" s="480" t="s">
        <v>507</v>
      </c>
      <c r="D18" s="210"/>
      <c r="E18" s="115">
        <v>0</v>
      </c>
      <c r="F18" s="25"/>
    </row>
    <row r="19" spans="1:7" s="48" customFormat="1" ht="23.25" hidden="1" customHeight="1">
      <c r="A19" s="25">
        <v>0</v>
      </c>
      <c r="B19" s="115">
        <v>0</v>
      </c>
      <c r="C19" s="480" t="s">
        <v>38</v>
      </c>
      <c r="D19" s="210"/>
      <c r="E19" s="115">
        <v>0</v>
      </c>
      <c r="F19" s="25"/>
    </row>
    <row r="20" spans="1:7" s="51" customFormat="1" ht="23.25" customHeight="1">
      <c r="A20" s="25">
        <f>SUM(A21:A22)</f>
        <v>0</v>
      </c>
      <c r="B20" s="25">
        <f>SUM(B21:B22)</f>
        <v>0</v>
      </c>
      <c r="C20" s="473" t="s">
        <v>27</v>
      </c>
      <c r="D20" s="210"/>
      <c r="E20" s="25">
        <f>SUM(E21:F22)</f>
        <v>0</v>
      </c>
      <c r="F20" s="25">
        <f>F22</f>
        <v>0</v>
      </c>
    </row>
    <row r="21" spans="1:7" s="51" customFormat="1" ht="23.25" customHeight="1">
      <c r="A21" s="25"/>
      <c r="B21" s="25">
        <v>0</v>
      </c>
      <c r="C21" s="44" t="s">
        <v>39</v>
      </c>
      <c r="D21" s="77"/>
      <c r="E21" s="25">
        <v>0</v>
      </c>
      <c r="F21" s="42"/>
    </row>
    <row r="22" spans="1:7" s="51" customFormat="1" ht="23.25" customHeight="1">
      <c r="A22" s="25"/>
      <c r="B22" s="115">
        <v>0</v>
      </c>
      <c r="C22" s="44" t="s">
        <v>40</v>
      </c>
      <c r="D22" s="116"/>
      <c r="E22" s="115">
        <v>0</v>
      </c>
      <c r="G22" s="51" t="s">
        <v>510</v>
      </c>
    </row>
    <row r="23" spans="1:7" s="51" customFormat="1" ht="23.25" customHeight="1">
      <c r="A23" s="25">
        <f>A24</f>
        <v>0</v>
      </c>
      <c r="B23" s="25">
        <f>B24</f>
        <v>0</v>
      </c>
      <c r="C23" s="1094" t="s">
        <v>100</v>
      </c>
      <c r="D23" s="1095"/>
      <c r="E23" s="25">
        <f>E24</f>
        <v>0</v>
      </c>
      <c r="F23" s="25">
        <f>F28</f>
        <v>0</v>
      </c>
      <c r="G23" s="155" t="e">
        <f>E23/B23</f>
        <v>#DIV/0!</v>
      </c>
    </row>
    <row r="24" spans="1:7" s="51" customFormat="1" ht="23.25" customHeight="1">
      <c r="A24" s="25">
        <f>A26+A25</f>
        <v>0</v>
      </c>
      <c r="B24" s="25">
        <f>B26</f>
        <v>0</v>
      </c>
      <c r="C24" s="474" t="s">
        <v>41</v>
      </c>
      <c r="D24" s="79"/>
      <c r="E24" s="25">
        <f>E26</f>
        <v>0</v>
      </c>
      <c r="F24" s="25"/>
      <c r="G24" s="155" t="e">
        <f>E24/B24</f>
        <v>#DIV/0!</v>
      </c>
    </row>
    <row r="25" spans="1:7" s="51" customFormat="1" ht="23.25" customHeight="1">
      <c r="A25" s="156"/>
      <c r="B25" s="156">
        <v>0</v>
      </c>
      <c r="C25" s="76" t="s">
        <v>42</v>
      </c>
      <c r="D25" s="79"/>
      <c r="E25" s="156">
        <v>0</v>
      </c>
      <c r="F25" s="25"/>
      <c r="G25" s="155" t="e">
        <f>E25/B25</f>
        <v>#DIV/0!</v>
      </c>
    </row>
    <row r="26" spans="1:7" s="51" customFormat="1" ht="23.25" customHeight="1">
      <c r="A26" s="156"/>
      <c r="B26" s="156">
        <v>0</v>
      </c>
      <c r="C26" s="76" t="s">
        <v>688</v>
      </c>
      <c r="D26" s="79"/>
      <c r="E26" s="156">
        <v>0</v>
      </c>
      <c r="F26" s="25"/>
      <c r="G26" s="155" t="e">
        <f>E26/B26</f>
        <v>#DIV/0!</v>
      </c>
    </row>
    <row r="27" spans="1:7" ht="23.25" customHeight="1">
      <c r="A27" s="25">
        <f>A28+A30</f>
        <v>0</v>
      </c>
      <c r="B27" s="25">
        <f>SUM(B28,B30)</f>
        <v>0</v>
      </c>
      <c r="C27" s="54" t="s">
        <v>160</v>
      </c>
      <c r="D27" s="43"/>
      <c r="E27" s="25">
        <f>SUM(E28,E30)</f>
        <v>0</v>
      </c>
    </row>
    <row r="28" spans="1:7" ht="23.25" customHeight="1">
      <c r="A28" s="25">
        <f>A29</f>
        <v>0</v>
      </c>
      <c r="B28" s="25">
        <f>SUM(B29)</f>
        <v>0</v>
      </c>
      <c r="C28" s="86" t="s">
        <v>43</v>
      </c>
      <c r="D28" s="43"/>
      <c r="E28" s="25">
        <f>SUM(E29)</f>
        <v>0</v>
      </c>
    </row>
    <row r="29" spans="1:7" ht="23.25" customHeight="1">
      <c r="A29" s="25"/>
      <c r="B29" s="25">
        <v>0</v>
      </c>
      <c r="C29" s="44" t="s">
        <v>28</v>
      </c>
      <c r="D29" s="43"/>
      <c r="E29" s="25">
        <v>0</v>
      </c>
    </row>
    <row r="30" spans="1:7" ht="23.25" customHeight="1">
      <c r="A30" s="25">
        <f>A31</f>
        <v>0</v>
      </c>
      <c r="B30" s="25">
        <f>SUM(B31)</f>
        <v>0</v>
      </c>
      <c r="C30" s="86" t="s">
        <v>44</v>
      </c>
      <c r="D30" s="43"/>
      <c r="E30" s="25">
        <f>SUM(E31)</f>
        <v>0</v>
      </c>
    </row>
    <row r="31" spans="1:7" ht="23.25" customHeight="1">
      <c r="A31" s="25"/>
      <c r="B31" s="25">
        <v>0</v>
      </c>
      <c r="C31" s="44" t="s">
        <v>29</v>
      </c>
      <c r="D31" s="43"/>
      <c r="E31" s="25">
        <v>0</v>
      </c>
    </row>
    <row r="32" spans="1:7" ht="23.25" customHeight="1">
      <c r="A32" s="25">
        <f>A33+A35</f>
        <v>0</v>
      </c>
      <c r="B32" s="25">
        <f>B33+B35</f>
        <v>0</v>
      </c>
      <c r="C32" s="54" t="s">
        <v>923</v>
      </c>
      <c r="D32" s="43"/>
      <c r="E32" s="25">
        <f>SUM(E33)</f>
        <v>0</v>
      </c>
    </row>
    <row r="33" spans="1:5" ht="23.25" customHeight="1">
      <c r="A33" s="25">
        <f>A34</f>
        <v>0</v>
      </c>
      <c r="B33" s="25">
        <f>SUM(B34)</f>
        <v>0</v>
      </c>
      <c r="C33" s="86" t="s">
        <v>689</v>
      </c>
      <c r="D33" s="43"/>
      <c r="E33" s="25">
        <f>SUM(E34)</f>
        <v>0</v>
      </c>
    </row>
    <row r="34" spans="1:5" ht="23.25" customHeight="1">
      <c r="A34" s="25"/>
      <c r="B34" s="25">
        <v>0</v>
      </c>
      <c r="C34" s="44" t="s">
        <v>690</v>
      </c>
      <c r="D34" s="43"/>
      <c r="E34" s="25">
        <v>0</v>
      </c>
    </row>
    <row r="35" spans="1:5" ht="23.25" customHeight="1">
      <c r="A35" s="25">
        <f>A36</f>
        <v>0</v>
      </c>
      <c r="B35" s="25">
        <f>SUM(B36)</f>
        <v>0</v>
      </c>
      <c r="C35" s="86" t="s">
        <v>30</v>
      </c>
      <c r="D35" s="43"/>
      <c r="E35" s="25">
        <f>SUM(E36)</f>
        <v>0</v>
      </c>
    </row>
    <row r="36" spans="1:5" ht="23.25" customHeight="1">
      <c r="A36" s="25"/>
      <c r="B36" s="25">
        <v>0</v>
      </c>
      <c r="C36" s="44" t="s">
        <v>45</v>
      </c>
      <c r="D36" s="43"/>
      <c r="E36" s="25">
        <v>0</v>
      </c>
    </row>
    <row r="37" spans="1:5" ht="23.25" customHeight="1">
      <c r="A37" s="25">
        <f>A38</f>
        <v>0</v>
      </c>
      <c r="B37" s="25">
        <f>B38+B40</f>
        <v>0</v>
      </c>
      <c r="C37" s="54" t="s">
        <v>691</v>
      </c>
      <c r="D37" s="43"/>
      <c r="E37" s="25">
        <f>SUM(E38)</f>
        <v>0</v>
      </c>
    </row>
    <row r="38" spans="1:5" ht="23.25" customHeight="1">
      <c r="A38" s="25">
        <f>A39</f>
        <v>0</v>
      </c>
      <c r="B38" s="25">
        <f>SUM(B39)</f>
        <v>0</v>
      </c>
      <c r="C38" s="86" t="s">
        <v>692</v>
      </c>
      <c r="D38" s="43"/>
      <c r="E38" s="25">
        <f>SUM(E39)</f>
        <v>0</v>
      </c>
    </row>
    <row r="39" spans="1:5" ht="23.25" customHeight="1">
      <c r="A39" s="25"/>
      <c r="B39" s="25">
        <v>0</v>
      </c>
      <c r="C39" s="44" t="s">
        <v>693</v>
      </c>
      <c r="D39" s="43"/>
      <c r="E39" s="25">
        <v>0</v>
      </c>
    </row>
    <row r="40" spans="1:5" ht="23.25" customHeight="1" thickBot="1">
      <c r="A40" s="495">
        <f>A41</f>
        <v>12</v>
      </c>
      <c r="B40" s="495">
        <f>B41+B69</f>
        <v>0</v>
      </c>
      <c r="C40" s="553" t="s">
        <v>477</v>
      </c>
      <c r="D40" s="554"/>
      <c r="E40" s="495">
        <f>SUM(E41)</f>
        <v>50</v>
      </c>
    </row>
    <row r="41" spans="1:5" ht="23.25" customHeight="1">
      <c r="A41" s="25">
        <f>A42</f>
        <v>12</v>
      </c>
      <c r="B41" s="25">
        <f>SUM(B42)</f>
        <v>0</v>
      </c>
      <c r="C41" s="86" t="s">
        <v>694</v>
      </c>
      <c r="D41" s="43"/>
      <c r="E41" s="25">
        <f>SUM(E42)</f>
        <v>50</v>
      </c>
    </row>
    <row r="42" spans="1:5" ht="23.25" customHeight="1">
      <c r="A42" s="25">
        <v>12</v>
      </c>
      <c r="B42" s="25">
        <v>0</v>
      </c>
      <c r="C42" s="44" t="s">
        <v>695</v>
      </c>
      <c r="D42" s="43"/>
      <c r="E42" s="25">
        <v>50</v>
      </c>
    </row>
    <row r="43" spans="1:5" ht="23.25" customHeight="1">
      <c r="A43" s="25"/>
      <c r="B43" s="25"/>
      <c r="C43" s="43"/>
      <c r="D43" s="43"/>
      <c r="E43" s="25"/>
    </row>
    <row r="44" spans="1:5" ht="23.25" customHeight="1">
      <c r="A44" s="25"/>
      <c r="B44" s="25"/>
      <c r="C44" s="43"/>
      <c r="D44" s="43"/>
      <c r="E44" s="25"/>
    </row>
    <row r="45" spans="1:5" ht="23.25" customHeight="1">
      <c r="A45" s="25"/>
      <c r="B45" s="25"/>
      <c r="C45" s="43"/>
      <c r="D45" s="43"/>
      <c r="E45" s="25"/>
    </row>
    <row r="46" spans="1:5" ht="23.25" customHeight="1">
      <c r="A46" s="25"/>
      <c r="B46" s="25"/>
      <c r="C46" s="43"/>
      <c r="D46" s="43"/>
      <c r="E46" s="25"/>
    </row>
    <row r="47" spans="1:5" ht="23.25" customHeight="1">
      <c r="A47" s="25"/>
      <c r="B47" s="25"/>
      <c r="C47" s="43"/>
      <c r="D47" s="43"/>
      <c r="E47" s="25"/>
    </row>
    <row r="48" spans="1:5" ht="23.25" customHeight="1">
      <c r="A48" s="25"/>
      <c r="B48" s="25"/>
      <c r="C48" s="43"/>
      <c r="D48" s="43"/>
      <c r="E48" s="25"/>
    </row>
    <row r="49" spans="1:5" ht="23.25" customHeight="1">
      <c r="A49" s="25"/>
      <c r="B49" s="25"/>
      <c r="C49" s="43"/>
      <c r="D49" s="43"/>
      <c r="E49" s="25"/>
    </row>
    <row r="50" spans="1:5" ht="23.25" customHeight="1">
      <c r="A50" s="25"/>
      <c r="B50" s="25"/>
      <c r="C50" s="43"/>
      <c r="D50" s="43"/>
      <c r="E50" s="25"/>
    </row>
    <row r="51" spans="1:5" ht="23.25" customHeight="1">
      <c r="A51" s="25"/>
      <c r="B51" s="25"/>
      <c r="C51" s="43"/>
      <c r="D51" s="43"/>
      <c r="E51" s="25"/>
    </row>
    <row r="52" spans="1:5" ht="23.25" customHeight="1">
      <c r="A52" s="25"/>
      <c r="B52" s="25"/>
      <c r="C52" s="43"/>
      <c r="D52" s="43"/>
      <c r="E52" s="25"/>
    </row>
    <row r="53" spans="1:5" ht="23.25" customHeight="1">
      <c r="A53" s="25"/>
      <c r="B53" s="25"/>
      <c r="C53" s="43"/>
      <c r="D53" s="43"/>
      <c r="E53" s="25"/>
    </row>
    <row r="54" spans="1:5" ht="23.25" customHeight="1">
      <c r="A54" s="25"/>
      <c r="B54" s="25"/>
      <c r="C54" s="43"/>
      <c r="D54" s="43"/>
      <c r="E54" s="25"/>
    </row>
    <row r="55" spans="1:5" ht="23.25" customHeight="1">
      <c r="A55" s="25"/>
      <c r="B55" s="25"/>
      <c r="C55" s="43"/>
      <c r="D55" s="43"/>
      <c r="E55" s="25"/>
    </row>
    <row r="56" spans="1:5" ht="23.25" customHeight="1">
      <c r="A56" s="25"/>
      <c r="B56" s="25"/>
      <c r="C56" s="43"/>
      <c r="D56" s="43"/>
      <c r="E56" s="25"/>
    </row>
    <row r="57" spans="1:5" ht="23.25" customHeight="1">
      <c r="A57" s="25"/>
      <c r="B57" s="25"/>
      <c r="C57" s="43"/>
      <c r="D57" s="43"/>
      <c r="E57" s="25"/>
    </row>
    <row r="58" spans="1:5" ht="23.25" customHeight="1">
      <c r="A58" s="25"/>
      <c r="B58" s="25"/>
      <c r="C58" s="43"/>
      <c r="D58" s="43"/>
      <c r="E58" s="25"/>
    </row>
    <row r="59" spans="1:5" ht="23.25" customHeight="1">
      <c r="A59" s="25"/>
      <c r="B59" s="25"/>
      <c r="C59" s="43"/>
      <c r="D59" s="43"/>
      <c r="E59" s="25"/>
    </row>
    <row r="60" spans="1:5" ht="23.25" customHeight="1">
      <c r="A60" s="25"/>
      <c r="B60" s="25"/>
      <c r="C60" s="43"/>
      <c r="D60" s="43"/>
      <c r="E60" s="25"/>
    </row>
    <row r="61" spans="1:5" ht="23.25" customHeight="1">
      <c r="A61" s="25"/>
      <c r="B61" s="25"/>
      <c r="C61" s="43"/>
      <c r="D61" s="43"/>
      <c r="E61" s="25"/>
    </row>
    <row r="62" spans="1:5" ht="23.25" customHeight="1">
      <c r="A62" s="25"/>
      <c r="B62" s="25"/>
      <c r="C62" s="43"/>
      <c r="D62" s="43"/>
      <c r="E62" s="25"/>
    </row>
    <row r="63" spans="1:5" ht="23.25" customHeight="1">
      <c r="A63" s="25"/>
      <c r="B63" s="25"/>
      <c r="C63" s="43"/>
      <c r="D63" s="43"/>
      <c r="E63" s="25"/>
    </row>
    <row r="64" spans="1:5" ht="23.25" customHeight="1">
      <c r="A64" s="25"/>
      <c r="B64" s="25"/>
      <c r="C64" s="43"/>
      <c r="D64" s="43"/>
      <c r="E64" s="25"/>
    </row>
    <row r="65" spans="1:7" ht="23.25" customHeight="1">
      <c r="A65" s="25"/>
      <c r="B65" s="25"/>
      <c r="C65" s="43"/>
      <c r="D65" s="43"/>
      <c r="E65" s="25"/>
    </row>
    <row r="66" spans="1:7" ht="23.25" customHeight="1">
      <c r="A66" s="25"/>
      <c r="B66" s="25"/>
      <c r="C66" s="43"/>
      <c r="D66" s="43"/>
      <c r="E66" s="25"/>
    </row>
    <row r="67" spans="1:7" ht="23.25" customHeight="1">
      <c r="A67" s="25"/>
      <c r="B67" s="25"/>
      <c r="C67" s="43"/>
      <c r="D67" s="43"/>
      <c r="E67" s="25"/>
    </row>
    <row r="68" spans="1:7" ht="23.25" customHeight="1">
      <c r="A68" s="25"/>
      <c r="B68" s="25"/>
      <c r="C68" s="43"/>
      <c r="D68" s="43"/>
      <c r="E68" s="25"/>
    </row>
    <row r="69" spans="1:7" ht="23.25" customHeight="1" thickBot="1">
      <c r="A69" s="477">
        <f>A8</f>
        <v>12</v>
      </c>
      <c r="B69" s="477">
        <f>B8</f>
        <v>0</v>
      </c>
      <c r="C69" s="1089" t="s">
        <v>18</v>
      </c>
      <c r="D69" s="1090"/>
      <c r="E69" s="477">
        <f>E8</f>
        <v>0</v>
      </c>
      <c r="F69" s="83"/>
      <c r="G69" s="154"/>
    </row>
    <row r="70" spans="1:7">
      <c r="A70" s="84"/>
      <c r="B70" s="84"/>
      <c r="C70" s="84"/>
      <c r="D70" s="84"/>
      <c r="E70" s="33"/>
    </row>
  </sheetData>
  <mergeCells count="12">
    <mergeCell ref="C69:D69"/>
    <mergeCell ref="A6:A7"/>
    <mergeCell ref="E6:E7"/>
    <mergeCell ref="C6:D7"/>
    <mergeCell ref="B6:B7"/>
    <mergeCell ref="C8:D8"/>
    <mergeCell ref="C23:D23"/>
    <mergeCell ref="A5:E5"/>
    <mergeCell ref="A1:E1"/>
    <mergeCell ref="A2:E2"/>
    <mergeCell ref="A3:E3"/>
    <mergeCell ref="A4:E4"/>
  </mergeCells>
  <phoneticPr fontId="2" type="noConversion"/>
  <printOptions horizontalCentered="1"/>
  <pageMargins left="0.6692913385826772" right="0.6692913385826772" top="0.59055118110236227" bottom="0.78740157480314965" header="0.51181102362204722" footer="0.51181102362204722"/>
  <pageSetup paperSize="9" scale="95" firstPageNumber="30" orientation="portrait" useFirstPageNumber="1" r:id="rId1"/>
  <headerFooter alignWithMargins="0">
    <oddFooter>&amp;C&amp;"Arial Unicode MS,標準"&amp;P</oddFooter>
  </headerFooter>
</worksheet>
</file>

<file path=xl/worksheets/sheet24.xml><?xml version="1.0" encoding="utf-8"?>
<worksheet xmlns="http://schemas.openxmlformats.org/spreadsheetml/2006/main" xmlns:r="http://schemas.openxmlformats.org/officeDocument/2006/relationships">
  <sheetPr codeName="Sheet23">
    <tabColor rgb="FFFFFFCC"/>
  </sheetPr>
  <dimension ref="A1:I43"/>
  <sheetViews>
    <sheetView workbookViewId="0">
      <selection activeCell="K14" sqref="K14"/>
    </sheetView>
  </sheetViews>
  <sheetFormatPr defaultColWidth="9" defaultRowHeight="16.2"/>
  <cols>
    <col min="1" max="1" width="16.33203125" style="1" customWidth="1"/>
    <col min="2" max="2" width="7.88671875" style="1" customWidth="1"/>
    <col min="3" max="3" width="8.33203125" style="1" customWidth="1"/>
    <col min="4" max="4" width="9.6640625" style="1" customWidth="1"/>
    <col min="5" max="5" width="10.77734375" style="1" bestFit="1" customWidth="1"/>
    <col min="6" max="6" width="9.6640625" style="1" customWidth="1"/>
    <col min="7" max="7" width="9.44140625" style="1" bestFit="1" customWidth="1"/>
    <col min="8" max="8" width="10.77734375" style="1" bestFit="1" customWidth="1"/>
    <col min="9" max="9" width="9.6640625" style="1" customWidth="1"/>
    <col min="10" max="16384" width="9" style="1"/>
  </cols>
  <sheetData>
    <row r="1" spans="1:9" ht="24.6">
      <c r="A1" s="952" t="s">
        <v>232</v>
      </c>
      <c r="B1" s="1144"/>
      <c r="C1" s="1144"/>
      <c r="D1" s="1144"/>
      <c r="E1" s="1144"/>
      <c r="F1" s="1144"/>
      <c r="G1" s="1144"/>
      <c r="H1" s="1144"/>
      <c r="I1" s="1144"/>
    </row>
    <row r="2" spans="1:9" ht="22.2">
      <c r="A2" s="1145" t="s">
        <v>76</v>
      </c>
      <c r="B2" s="1146"/>
      <c r="C2" s="1146"/>
      <c r="D2" s="1146"/>
      <c r="E2" s="1146"/>
      <c r="F2" s="1146"/>
      <c r="G2" s="1146"/>
      <c r="H2" s="1146"/>
      <c r="I2" s="1146"/>
    </row>
    <row r="3" spans="1:9" ht="22.2">
      <c r="A3" s="953" t="s">
        <v>205</v>
      </c>
      <c r="B3" s="1145"/>
      <c r="C3" s="1145"/>
      <c r="D3" s="1145"/>
      <c r="E3" s="1145"/>
      <c r="F3" s="1145"/>
      <c r="G3" s="1145"/>
      <c r="H3" s="1145"/>
      <c r="I3" s="1145"/>
    </row>
    <row r="4" spans="1:9" s="170" customFormat="1" ht="19.8">
      <c r="A4" s="1147" t="s">
        <v>1037</v>
      </c>
      <c r="B4" s="1148"/>
      <c r="C4" s="1148"/>
      <c r="D4" s="1148"/>
      <c r="E4" s="1148"/>
      <c r="F4" s="1148"/>
      <c r="G4" s="1148"/>
      <c r="H4" s="1148"/>
      <c r="I4" s="1148"/>
    </row>
    <row r="5" spans="1:9" ht="16.8" thickBot="1">
      <c r="B5" s="311" t="s">
        <v>75</v>
      </c>
      <c r="C5" s="311"/>
      <c r="D5" s="311"/>
      <c r="E5" s="1143"/>
      <c r="F5" s="1143"/>
      <c r="G5" s="1143"/>
      <c r="I5" s="11" t="s">
        <v>249</v>
      </c>
    </row>
    <row r="6" spans="1:9" s="27" customFormat="1" ht="42" customHeight="1">
      <c r="A6" s="312" t="s">
        <v>198</v>
      </c>
      <c r="B6" s="313" t="s">
        <v>201</v>
      </c>
      <c r="C6" s="352" t="s">
        <v>724</v>
      </c>
      <c r="D6" s="352" t="s">
        <v>725</v>
      </c>
      <c r="E6" s="352" t="s">
        <v>723</v>
      </c>
      <c r="F6" s="313" t="s">
        <v>199</v>
      </c>
      <c r="G6" s="313" t="s">
        <v>200</v>
      </c>
      <c r="H6" s="313" t="s">
        <v>202</v>
      </c>
      <c r="I6" s="385" t="s">
        <v>203</v>
      </c>
    </row>
    <row r="7" spans="1:9" s="27" customFormat="1" ht="14.25" customHeight="1">
      <c r="A7" s="386"/>
      <c r="B7" s="387"/>
      <c r="C7" s="388"/>
      <c r="D7" s="388"/>
      <c r="E7" s="388"/>
      <c r="F7" s="387"/>
      <c r="G7" s="387"/>
      <c r="H7" s="387"/>
      <c r="I7" s="389"/>
    </row>
    <row r="8" spans="1:9" s="408" customFormat="1" ht="30" customHeight="1">
      <c r="A8" s="405" t="s">
        <v>849</v>
      </c>
      <c r="B8" s="406"/>
      <c r="C8" s="406"/>
      <c r="D8" s="406"/>
      <c r="E8" s="920">
        <f>SUM(E10:E12)</f>
        <v>16745</v>
      </c>
      <c r="F8" s="920"/>
      <c r="G8" s="920">
        <f>SUM(G10:G12)</f>
        <v>1538</v>
      </c>
      <c r="H8" s="920">
        <f>SUM(H10:H12)</f>
        <v>18283</v>
      </c>
      <c r="I8" s="407"/>
    </row>
    <row r="9" spans="1:9" s="408" customFormat="1" ht="33" customHeight="1">
      <c r="A9" s="405" t="s">
        <v>850</v>
      </c>
      <c r="B9" s="406"/>
      <c r="C9" s="406"/>
      <c r="D9" s="406"/>
      <c r="E9" s="920"/>
      <c r="F9" s="920"/>
      <c r="G9" s="920"/>
      <c r="H9" s="920"/>
      <c r="I9" s="407"/>
    </row>
    <row r="10" spans="1:9" ht="33" hidden="1" customHeight="1">
      <c r="A10" s="353" t="s">
        <v>59</v>
      </c>
      <c r="B10" s="147"/>
      <c r="C10" s="147"/>
      <c r="D10" s="147"/>
      <c r="E10" s="921"/>
      <c r="F10" s="921"/>
      <c r="G10" s="922"/>
      <c r="H10" s="923">
        <f>SUM(B10:G10)</f>
        <v>0</v>
      </c>
      <c r="I10" s="149"/>
    </row>
    <row r="11" spans="1:9" ht="33" hidden="1" customHeight="1">
      <c r="A11" s="353"/>
      <c r="B11" s="147"/>
      <c r="C11" s="147"/>
      <c r="D11" s="147"/>
      <c r="E11" s="921"/>
      <c r="F11" s="921"/>
      <c r="G11" s="922"/>
      <c r="H11" s="923"/>
      <c r="I11" s="149"/>
    </row>
    <row r="12" spans="1:9" ht="33" customHeight="1">
      <c r="A12" s="353" t="s">
        <v>60</v>
      </c>
      <c r="B12" s="147"/>
      <c r="C12" s="147"/>
      <c r="D12" s="147"/>
      <c r="E12" s="921">
        <f>1200+15545</f>
        <v>16745</v>
      </c>
      <c r="F12" s="921"/>
      <c r="G12" s="921">
        <f>1538</f>
        <v>1538</v>
      </c>
      <c r="H12" s="921">
        <f>SUM(B12:G12)</f>
        <v>18283</v>
      </c>
      <c r="I12" s="149"/>
    </row>
    <row r="13" spans="1:9" ht="27" customHeight="1">
      <c r="A13" s="212"/>
      <c r="B13" s="137"/>
      <c r="C13" s="137"/>
      <c r="D13" s="137"/>
      <c r="E13" s="137"/>
      <c r="F13" s="137"/>
      <c r="G13" s="148"/>
      <c r="H13" s="137"/>
      <c r="I13" s="149"/>
    </row>
    <row r="14" spans="1:9" ht="30.75" customHeight="1">
      <c r="A14" s="212"/>
      <c r="B14" s="137"/>
      <c r="C14" s="137"/>
      <c r="D14" s="137"/>
      <c r="E14" s="137"/>
      <c r="F14" s="137"/>
      <c r="G14" s="148"/>
      <c r="H14" s="137"/>
      <c r="I14" s="149"/>
    </row>
    <row r="15" spans="1:9">
      <c r="A15" s="212"/>
      <c r="B15" s="137"/>
      <c r="C15" s="137"/>
      <c r="D15" s="137"/>
      <c r="E15" s="137"/>
      <c r="F15" s="137"/>
      <c r="G15" s="148"/>
      <c r="H15" s="137"/>
      <c r="I15" s="149"/>
    </row>
    <row r="16" spans="1:9">
      <c r="A16" s="212"/>
      <c r="B16" s="137"/>
      <c r="C16" s="137"/>
      <c r="D16" s="137"/>
      <c r="E16" s="137"/>
      <c r="F16" s="137"/>
      <c r="G16" s="148"/>
      <c r="H16" s="137"/>
      <c r="I16" s="149"/>
    </row>
    <row r="17" spans="1:9">
      <c r="A17" s="212"/>
      <c r="B17" s="137"/>
      <c r="C17" s="137"/>
      <c r="D17" s="137"/>
      <c r="E17" s="137"/>
      <c r="F17" s="137"/>
      <c r="G17" s="148"/>
      <c r="H17" s="137"/>
      <c r="I17" s="149"/>
    </row>
    <row r="18" spans="1:9">
      <c r="A18" s="212"/>
      <c r="B18" s="137"/>
      <c r="C18" s="137"/>
      <c r="D18" s="137"/>
      <c r="E18" s="137"/>
      <c r="F18" s="137"/>
      <c r="G18" s="148"/>
      <c r="H18" s="137"/>
      <c r="I18" s="149"/>
    </row>
    <row r="19" spans="1:9">
      <c r="A19" s="212"/>
      <c r="B19" s="137"/>
      <c r="C19" s="137"/>
      <c r="D19" s="137"/>
      <c r="E19" s="137"/>
      <c r="F19" s="137"/>
      <c r="G19" s="148"/>
      <c r="H19" s="137"/>
      <c r="I19" s="149"/>
    </row>
    <row r="20" spans="1:9">
      <c r="A20" s="212"/>
      <c r="B20" s="137"/>
      <c r="C20" s="137"/>
      <c r="D20" s="137"/>
      <c r="E20" s="137"/>
      <c r="F20" s="137"/>
      <c r="G20" s="148"/>
      <c r="H20" s="137"/>
      <c r="I20" s="149"/>
    </row>
    <row r="21" spans="1:9">
      <c r="A21" s="212"/>
      <c r="B21" s="137"/>
      <c r="C21" s="137"/>
      <c r="D21" s="137"/>
      <c r="E21" s="137"/>
      <c r="F21" s="137"/>
      <c r="G21" s="148"/>
      <c r="H21" s="137"/>
      <c r="I21" s="149"/>
    </row>
    <row r="22" spans="1:9">
      <c r="A22" s="212"/>
      <c r="B22" s="137"/>
      <c r="C22" s="137"/>
      <c r="D22" s="137"/>
      <c r="E22" s="137"/>
      <c r="F22" s="137"/>
      <c r="G22" s="148"/>
      <c r="H22" s="137"/>
      <c r="I22" s="149"/>
    </row>
    <row r="23" spans="1:9">
      <c r="A23" s="212"/>
      <c r="B23" s="137"/>
      <c r="C23" s="137"/>
      <c r="D23" s="137"/>
      <c r="E23" s="137"/>
      <c r="F23" s="137"/>
      <c r="G23" s="148"/>
      <c r="H23" s="137"/>
      <c r="I23" s="149"/>
    </row>
    <row r="24" spans="1:9">
      <c r="A24" s="212"/>
      <c r="B24" s="137"/>
      <c r="C24" s="137"/>
      <c r="D24" s="137"/>
      <c r="E24" s="137"/>
      <c r="F24" s="137"/>
      <c r="G24" s="148"/>
      <c r="H24" s="137"/>
      <c r="I24" s="149"/>
    </row>
    <row r="25" spans="1:9">
      <c r="A25" s="212"/>
      <c r="B25" s="137"/>
      <c r="C25" s="137"/>
      <c r="D25" s="137"/>
      <c r="E25" s="137"/>
      <c r="F25" s="137"/>
      <c r="G25" s="148"/>
      <c r="H25" s="137"/>
      <c r="I25" s="149"/>
    </row>
    <row r="26" spans="1:9">
      <c r="A26" s="212"/>
      <c r="B26" s="137"/>
      <c r="C26" s="137"/>
      <c r="D26" s="137"/>
      <c r="E26" s="137"/>
      <c r="F26" s="137"/>
      <c r="G26" s="148"/>
      <c r="H26" s="137"/>
      <c r="I26" s="149"/>
    </row>
    <row r="27" spans="1:9">
      <c r="A27" s="212"/>
      <c r="B27" s="137"/>
      <c r="C27" s="137"/>
      <c r="D27" s="137"/>
      <c r="E27" s="137"/>
      <c r="F27" s="137"/>
      <c r="G27" s="148"/>
      <c r="H27" s="137"/>
      <c r="I27" s="149"/>
    </row>
    <row r="28" spans="1:9">
      <c r="A28" s="212"/>
      <c r="B28" s="137"/>
      <c r="C28" s="137"/>
      <c r="D28" s="137"/>
      <c r="E28" s="137"/>
      <c r="F28" s="137"/>
      <c r="G28" s="148"/>
      <c r="H28" s="137"/>
      <c r="I28" s="149"/>
    </row>
    <row r="29" spans="1:9">
      <c r="A29" s="212"/>
      <c r="B29" s="137"/>
      <c r="C29" s="137"/>
      <c r="D29" s="137"/>
      <c r="E29" s="137"/>
      <c r="F29" s="137"/>
      <c r="G29" s="148"/>
      <c r="H29" s="137"/>
      <c r="I29" s="149"/>
    </row>
    <row r="30" spans="1:9">
      <c r="A30" s="212"/>
      <c r="B30" s="137"/>
      <c r="C30" s="137"/>
      <c r="D30" s="137"/>
      <c r="E30" s="137"/>
      <c r="F30" s="137"/>
      <c r="G30" s="148"/>
      <c r="H30" s="137"/>
      <c r="I30" s="149"/>
    </row>
    <row r="31" spans="1:9">
      <c r="A31" s="212"/>
      <c r="B31" s="137"/>
      <c r="C31" s="137"/>
      <c r="D31" s="137"/>
      <c r="E31" s="137"/>
      <c r="F31" s="137"/>
      <c r="G31" s="148"/>
      <c r="H31" s="137"/>
      <c r="I31" s="149"/>
    </row>
    <row r="32" spans="1:9">
      <c r="A32" s="212"/>
      <c r="B32" s="137"/>
      <c r="C32" s="137"/>
      <c r="D32" s="137"/>
      <c r="E32" s="137"/>
      <c r="F32" s="137"/>
      <c r="G32" s="148"/>
      <c r="H32" s="137"/>
      <c r="I32" s="149"/>
    </row>
    <row r="33" spans="1:9">
      <c r="A33" s="212"/>
      <c r="B33" s="137"/>
      <c r="C33" s="137"/>
      <c r="D33" s="137"/>
      <c r="E33" s="137"/>
      <c r="F33" s="137"/>
      <c r="G33" s="148"/>
      <c r="H33" s="137"/>
      <c r="I33" s="149"/>
    </row>
    <row r="34" spans="1:9">
      <c r="A34" s="212"/>
      <c r="B34" s="137"/>
      <c r="C34" s="137"/>
      <c r="D34" s="137"/>
      <c r="E34" s="137"/>
      <c r="F34" s="137"/>
      <c r="G34" s="148"/>
      <c r="H34" s="137"/>
      <c r="I34" s="149"/>
    </row>
    <row r="35" spans="1:9">
      <c r="A35" s="212"/>
      <c r="B35" s="137"/>
      <c r="C35" s="137"/>
      <c r="D35" s="137"/>
      <c r="E35" s="137"/>
      <c r="F35" s="137"/>
      <c r="G35" s="148"/>
      <c r="H35" s="137"/>
      <c r="I35" s="149"/>
    </row>
    <row r="36" spans="1:9">
      <c r="A36" s="212"/>
      <c r="B36" s="137"/>
      <c r="C36" s="137"/>
      <c r="D36" s="137"/>
      <c r="E36" s="137"/>
      <c r="F36" s="137"/>
      <c r="G36" s="148"/>
      <c r="H36" s="137"/>
      <c r="I36" s="149"/>
    </row>
    <row r="37" spans="1:9">
      <c r="A37" s="212"/>
      <c r="B37" s="137"/>
      <c r="C37" s="137"/>
      <c r="D37" s="137"/>
      <c r="E37" s="137"/>
      <c r="F37" s="137"/>
      <c r="G37" s="148"/>
      <c r="H37" s="137"/>
      <c r="I37" s="149"/>
    </row>
    <row r="38" spans="1:9">
      <c r="A38" s="212"/>
      <c r="B38" s="137"/>
      <c r="C38" s="137"/>
      <c r="D38" s="137"/>
      <c r="E38" s="137"/>
      <c r="F38" s="137"/>
      <c r="G38" s="148"/>
      <c r="H38" s="137"/>
      <c r="I38" s="149"/>
    </row>
    <row r="39" spans="1:9">
      <c r="A39" s="212"/>
      <c r="B39" s="137"/>
      <c r="C39" s="137"/>
      <c r="D39" s="137"/>
      <c r="E39" s="137"/>
      <c r="F39" s="137"/>
      <c r="G39" s="148"/>
      <c r="H39" s="137"/>
      <c r="I39" s="149"/>
    </row>
    <row r="40" spans="1:9">
      <c r="A40" s="212"/>
      <c r="B40" s="137"/>
      <c r="C40" s="137"/>
      <c r="D40" s="137"/>
      <c r="E40" s="137"/>
      <c r="F40" s="137"/>
      <c r="G40" s="148"/>
      <c r="H40" s="137"/>
      <c r="I40" s="149"/>
    </row>
    <row r="41" spans="1:9">
      <c r="A41" s="212"/>
      <c r="B41" s="137"/>
      <c r="C41" s="137"/>
      <c r="D41" s="137"/>
      <c r="E41" s="137"/>
      <c r="F41" s="137"/>
      <c r="G41" s="148"/>
      <c r="H41" s="137"/>
      <c r="I41" s="149"/>
    </row>
    <row r="42" spans="1:9">
      <c r="A42" s="212"/>
      <c r="B42" s="137"/>
      <c r="C42" s="137"/>
      <c r="D42" s="137"/>
      <c r="E42" s="137"/>
      <c r="F42" s="137"/>
      <c r="G42" s="148"/>
      <c r="H42" s="137"/>
      <c r="I42" s="149"/>
    </row>
    <row r="43" spans="1:9" s="412" customFormat="1" ht="35.4" customHeight="1" thickBot="1">
      <c r="A43" s="409" t="s">
        <v>460</v>
      </c>
      <c r="B43" s="410"/>
      <c r="C43" s="410"/>
      <c r="D43" s="410"/>
      <c r="E43" s="410">
        <f>E8</f>
        <v>16745</v>
      </c>
      <c r="F43" s="410"/>
      <c r="G43" s="410">
        <f>G8</f>
        <v>1538</v>
      </c>
      <c r="H43" s="410">
        <f>H8</f>
        <v>18283</v>
      </c>
      <c r="I43" s="411"/>
    </row>
  </sheetData>
  <mergeCells count="5">
    <mergeCell ref="E5:G5"/>
    <mergeCell ref="A1:I1"/>
    <mergeCell ref="A2:I2"/>
    <mergeCell ref="A3:I3"/>
    <mergeCell ref="A4:I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1" orientation="portrait" blackAndWhite="1" useFirstPageNumber="1" r:id="rId1"/>
  <headerFooter scaleWithDoc="0" alignWithMargins="0">
    <oddFooter>&amp;C&amp;"Arial Unicode MS,標準"&amp;P</oddFooter>
  </headerFooter>
</worksheet>
</file>

<file path=xl/worksheets/sheet25.xml><?xml version="1.0" encoding="utf-8"?>
<worksheet xmlns="http://schemas.openxmlformats.org/spreadsheetml/2006/main" xmlns:r="http://schemas.openxmlformats.org/officeDocument/2006/relationships">
  <sheetPr codeName="Sheet25">
    <tabColor rgb="FFFFFFCC"/>
  </sheetPr>
  <dimension ref="A1:M44"/>
  <sheetViews>
    <sheetView topLeftCell="A31" zoomScaleNormal="100" workbookViewId="0">
      <selection activeCell="K14" sqref="K14"/>
    </sheetView>
  </sheetViews>
  <sheetFormatPr defaultColWidth="9" defaultRowHeight="16.2"/>
  <cols>
    <col min="1" max="1" width="15.88671875" style="1" customWidth="1"/>
    <col min="2" max="2" width="9.33203125" style="1" customWidth="1"/>
    <col min="3" max="3" width="6.33203125" style="1" customWidth="1"/>
    <col min="4" max="4" width="4.77734375" style="1" customWidth="1"/>
    <col min="5" max="5" width="3.21875" style="1" customWidth="1"/>
    <col min="6" max="6" width="11.21875" style="1" bestFit="1" customWidth="1"/>
    <col min="7" max="7" width="9.33203125" style="1" customWidth="1"/>
    <col min="8" max="9" width="4.6640625" style="1" customWidth="1"/>
    <col min="10" max="10" width="4.21875" style="1" customWidth="1"/>
    <col min="11" max="11" width="3.109375" style="1" customWidth="1"/>
    <col min="12" max="13" width="9.33203125" style="1" customWidth="1"/>
    <col min="14" max="16384" width="9" style="1"/>
  </cols>
  <sheetData>
    <row r="1" spans="1:13" ht="24.6">
      <c r="A1" s="992" t="s">
        <v>476</v>
      </c>
      <c r="B1" s="1171"/>
      <c r="C1" s="1171"/>
      <c r="D1" s="1171"/>
      <c r="E1" s="1171"/>
      <c r="F1" s="1171"/>
      <c r="G1" s="1171"/>
      <c r="H1" s="1171"/>
      <c r="I1" s="1171"/>
      <c r="J1" s="1171"/>
      <c r="K1" s="1171"/>
      <c r="L1" s="1171"/>
      <c r="M1" s="1171"/>
    </row>
    <row r="2" spans="1:13" ht="22.2">
      <c r="A2" s="1005" t="s">
        <v>76</v>
      </c>
      <c r="B2" s="1172"/>
      <c r="C2" s="1172"/>
      <c r="D2" s="1172"/>
      <c r="E2" s="1172"/>
      <c r="F2" s="1172"/>
      <c r="G2" s="1172"/>
      <c r="H2" s="1172"/>
      <c r="I2" s="1172"/>
      <c r="J2" s="1172"/>
      <c r="K2" s="1172"/>
      <c r="L2" s="1172"/>
      <c r="M2" s="1172"/>
    </row>
    <row r="3" spans="1:13" ht="20.25" customHeight="1">
      <c r="A3" s="1173" t="s">
        <v>211</v>
      </c>
      <c r="B3" s="1174"/>
      <c r="C3" s="1174"/>
      <c r="D3" s="1174"/>
      <c r="E3" s="1174"/>
      <c r="F3" s="1174"/>
      <c r="G3" s="1174"/>
      <c r="H3" s="1174"/>
      <c r="I3" s="1174"/>
      <c r="J3" s="1174"/>
      <c r="K3" s="1174"/>
      <c r="L3" s="1174"/>
      <c r="M3" s="1174"/>
    </row>
    <row r="4" spans="1:13" s="170" customFormat="1" ht="20.25" customHeight="1">
      <c r="A4" s="1177" t="s">
        <v>1038</v>
      </c>
      <c r="B4" s="1177"/>
      <c r="C4" s="1177"/>
      <c r="D4" s="1177"/>
      <c r="E4" s="1177"/>
      <c r="F4" s="1177"/>
      <c r="G4" s="1177"/>
      <c r="H4" s="1177"/>
      <c r="I4" s="1177"/>
      <c r="J4" s="1177"/>
      <c r="K4" s="1177"/>
      <c r="L4" s="1177"/>
      <c r="M4" s="1177"/>
    </row>
    <row r="5" spans="1:13" ht="16.8" thickBot="1">
      <c r="B5" s="1175" t="s">
        <v>249</v>
      </c>
      <c r="C5" s="1176"/>
      <c r="D5" s="1176"/>
      <c r="E5" s="1176"/>
      <c r="F5" s="1176"/>
      <c r="G5" s="1176"/>
      <c r="H5" s="1176"/>
      <c r="I5" s="1176"/>
      <c r="J5" s="1176"/>
      <c r="K5" s="1176"/>
      <c r="L5" s="1176"/>
      <c r="M5" s="1176"/>
    </row>
    <row r="6" spans="1:13" ht="19.5" customHeight="1">
      <c r="A6" s="1155" t="s">
        <v>212</v>
      </c>
      <c r="B6" s="1153" t="s">
        <v>213</v>
      </c>
      <c r="C6" s="1158"/>
      <c r="D6" s="1158"/>
      <c r="E6" s="1158"/>
      <c r="F6" s="1158"/>
      <c r="G6" s="1159"/>
      <c r="H6" s="1153" t="s">
        <v>448</v>
      </c>
      <c r="I6" s="1158"/>
      <c r="J6" s="1158"/>
      <c r="K6" s="1159"/>
      <c r="L6" s="1153" t="s">
        <v>214</v>
      </c>
      <c r="M6" s="1154"/>
    </row>
    <row r="7" spans="1:13" ht="19.5" customHeight="1">
      <c r="A7" s="1156"/>
      <c r="B7" s="1160" t="s">
        <v>217</v>
      </c>
      <c r="C7" s="1168" t="s">
        <v>220</v>
      </c>
      <c r="D7" s="1160" t="s">
        <v>733</v>
      </c>
      <c r="E7" s="1160" t="s">
        <v>219</v>
      </c>
      <c r="F7" s="1149" t="s">
        <v>215</v>
      </c>
      <c r="G7" s="1150"/>
      <c r="H7" s="1166" t="s">
        <v>402</v>
      </c>
      <c r="I7" s="1166" t="s">
        <v>403</v>
      </c>
      <c r="J7" s="1151" t="s">
        <v>405</v>
      </c>
      <c r="K7" s="1152"/>
      <c r="L7" s="1162" t="s">
        <v>218</v>
      </c>
      <c r="M7" s="1164" t="s">
        <v>216</v>
      </c>
    </row>
    <row r="8" spans="1:13" ht="34.5" customHeight="1">
      <c r="A8" s="1157"/>
      <c r="B8" s="1161"/>
      <c r="C8" s="1169"/>
      <c r="D8" s="1161"/>
      <c r="E8" s="1170"/>
      <c r="F8" s="130" t="s">
        <v>218</v>
      </c>
      <c r="G8" s="130" t="s">
        <v>216</v>
      </c>
      <c r="H8" s="1167"/>
      <c r="I8" s="1167"/>
      <c r="J8" s="323" t="s">
        <v>404</v>
      </c>
      <c r="K8" s="323" t="s">
        <v>216</v>
      </c>
      <c r="L8" s="1163"/>
      <c r="M8" s="1165"/>
    </row>
    <row r="9" spans="1:13" ht="15" customHeight="1">
      <c r="A9" s="354"/>
      <c r="B9" s="391"/>
      <c r="C9" s="392"/>
      <c r="D9" s="391"/>
      <c r="E9" s="393"/>
      <c r="F9" s="394"/>
      <c r="G9" s="394"/>
      <c r="H9" s="395"/>
      <c r="I9" s="395"/>
      <c r="J9" s="396"/>
      <c r="K9" s="396"/>
      <c r="L9" s="394"/>
      <c r="M9" s="355"/>
    </row>
    <row r="10" spans="1:13" s="408" customFormat="1" ht="28.5" customHeight="1">
      <c r="A10" s="413" t="s">
        <v>849</v>
      </c>
      <c r="B10" s="414">
        <f>B12+B13</f>
        <v>18283</v>
      </c>
      <c r="C10" s="415"/>
      <c r="D10" s="415"/>
      <c r="E10" s="415"/>
      <c r="F10" s="416">
        <f>F12+F13</f>
        <v>18283</v>
      </c>
      <c r="G10" s="417">
        <f>B10/F10*100</f>
        <v>100</v>
      </c>
      <c r="H10" s="418"/>
      <c r="I10" s="418"/>
      <c r="J10" s="418"/>
      <c r="K10" s="418"/>
      <c r="L10" s="416">
        <f>F10</f>
        <v>18283</v>
      </c>
      <c r="M10" s="425">
        <f>B10/F10*100</f>
        <v>100</v>
      </c>
    </row>
    <row r="11" spans="1:13" s="408" customFormat="1" ht="33" customHeight="1">
      <c r="A11" s="413" t="s">
        <v>851</v>
      </c>
      <c r="B11" s="414"/>
      <c r="C11" s="415"/>
      <c r="D11" s="415"/>
      <c r="E11" s="415"/>
      <c r="F11" s="416"/>
      <c r="G11" s="417"/>
      <c r="H11" s="418"/>
      <c r="I11" s="418"/>
      <c r="J11" s="418"/>
      <c r="K11" s="418"/>
      <c r="L11" s="416"/>
      <c r="M11" s="425"/>
    </row>
    <row r="12" spans="1:13" ht="33" hidden="1" customHeight="1">
      <c r="A12" s="133" t="s">
        <v>227</v>
      </c>
      <c r="B12" s="315">
        <f>'31.固定資產建改擴明細表'!H10</f>
        <v>0</v>
      </c>
      <c r="C12" s="316"/>
      <c r="D12" s="316"/>
      <c r="E12" s="316"/>
      <c r="F12" s="316">
        <f>SUM(B12:E12)</f>
        <v>0</v>
      </c>
      <c r="G12" s="318" t="e">
        <f>B12/F12*100</f>
        <v>#DIV/0!</v>
      </c>
      <c r="H12" s="314"/>
      <c r="I12" s="314"/>
      <c r="J12" s="314"/>
      <c r="K12" s="314"/>
      <c r="L12" s="316">
        <f>F12</f>
        <v>0</v>
      </c>
      <c r="M12" s="320" t="e">
        <f>B12/F12*100</f>
        <v>#DIV/0!</v>
      </c>
    </row>
    <row r="13" spans="1:13" ht="33" customHeight="1">
      <c r="A13" s="133" t="s">
        <v>134</v>
      </c>
      <c r="B13" s="315">
        <f>'31.固定資產建改擴明細表'!H12</f>
        <v>18283</v>
      </c>
      <c r="C13" s="316"/>
      <c r="D13" s="316"/>
      <c r="E13" s="316"/>
      <c r="F13" s="316">
        <f>SUM(B13:E13)</f>
        <v>18283</v>
      </c>
      <c r="G13" s="318">
        <f>B13/F13*100</f>
        <v>100</v>
      </c>
      <c r="H13" s="314"/>
      <c r="I13" s="314"/>
      <c r="J13" s="314"/>
      <c r="K13" s="314"/>
      <c r="L13" s="316">
        <f>F13</f>
        <v>18283</v>
      </c>
      <c r="M13" s="320">
        <f>B13/F13*100</f>
        <v>100</v>
      </c>
    </row>
    <row r="14" spans="1:13" ht="21.75" customHeight="1">
      <c r="A14" s="133"/>
      <c r="B14" s="317"/>
      <c r="C14" s="317"/>
      <c r="D14" s="317"/>
      <c r="E14" s="317"/>
      <c r="F14" s="317"/>
      <c r="G14" s="319"/>
      <c r="H14" s="314"/>
      <c r="I14" s="314"/>
      <c r="J14" s="314"/>
      <c r="K14" s="314"/>
      <c r="L14" s="317"/>
      <c r="M14" s="321"/>
    </row>
    <row r="15" spans="1:13">
      <c r="A15" s="133"/>
      <c r="B15" s="317"/>
      <c r="C15" s="317"/>
      <c r="D15" s="317"/>
      <c r="E15" s="317"/>
      <c r="F15" s="317"/>
      <c r="G15" s="319"/>
      <c r="H15" s="314"/>
      <c r="I15" s="314"/>
      <c r="J15" s="314"/>
      <c r="K15" s="314"/>
      <c r="L15" s="317"/>
      <c r="M15" s="321"/>
    </row>
    <row r="16" spans="1:13">
      <c r="A16" s="133"/>
      <c r="B16" s="317"/>
      <c r="C16" s="317"/>
      <c r="D16" s="317"/>
      <c r="E16" s="317"/>
      <c r="F16" s="317"/>
      <c r="G16" s="319"/>
      <c r="H16" s="314"/>
      <c r="I16" s="314"/>
      <c r="J16" s="314"/>
      <c r="K16" s="314"/>
      <c r="L16" s="317"/>
      <c r="M16" s="322"/>
    </row>
    <row r="17" spans="1:13">
      <c r="A17" s="133"/>
      <c r="B17" s="317"/>
      <c r="C17" s="317"/>
      <c r="D17" s="317"/>
      <c r="E17" s="317"/>
      <c r="F17" s="317"/>
      <c r="G17" s="319"/>
      <c r="H17" s="314"/>
      <c r="I17" s="314"/>
      <c r="J17" s="314"/>
      <c r="K17" s="314"/>
      <c r="L17" s="317"/>
      <c r="M17" s="322"/>
    </row>
    <row r="18" spans="1:13">
      <c r="A18" s="133"/>
      <c r="B18" s="317"/>
      <c r="C18" s="317"/>
      <c r="D18" s="317"/>
      <c r="E18" s="317"/>
      <c r="F18" s="317"/>
      <c r="G18" s="319"/>
      <c r="H18" s="314"/>
      <c r="I18" s="314"/>
      <c r="J18" s="314"/>
      <c r="K18" s="314"/>
      <c r="L18" s="317"/>
      <c r="M18" s="322"/>
    </row>
    <row r="19" spans="1:13">
      <c r="A19" s="133"/>
      <c r="B19" s="317"/>
      <c r="C19" s="317"/>
      <c r="D19" s="317"/>
      <c r="E19" s="317"/>
      <c r="F19" s="317"/>
      <c r="G19" s="319"/>
      <c r="H19" s="314"/>
      <c r="I19" s="314"/>
      <c r="J19" s="314"/>
      <c r="K19" s="314"/>
      <c r="L19" s="317"/>
      <c r="M19" s="322"/>
    </row>
    <row r="20" spans="1:13">
      <c r="A20" s="133"/>
      <c r="B20" s="317"/>
      <c r="C20" s="317"/>
      <c r="D20" s="317"/>
      <c r="E20" s="317"/>
      <c r="F20" s="317"/>
      <c r="G20" s="319"/>
      <c r="H20" s="314"/>
      <c r="I20" s="314"/>
      <c r="J20" s="314"/>
      <c r="K20" s="314"/>
      <c r="L20" s="317"/>
      <c r="M20" s="322"/>
    </row>
    <row r="21" spans="1:13">
      <c r="A21" s="133"/>
      <c r="B21" s="317"/>
      <c r="C21" s="317"/>
      <c r="D21" s="317"/>
      <c r="E21" s="317"/>
      <c r="F21" s="317"/>
      <c r="G21" s="319"/>
      <c r="H21" s="314"/>
      <c r="I21" s="314"/>
      <c r="J21" s="314"/>
      <c r="K21" s="314"/>
      <c r="L21" s="317"/>
      <c r="M21" s="322"/>
    </row>
    <row r="22" spans="1:13">
      <c r="A22" s="133"/>
      <c r="B22" s="317"/>
      <c r="C22" s="317"/>
      <c r="D22" s="317"/>
      <c r="E22" s="317"/>
      <c r="F22" s="317"/>
      <c r="G22" s="319"/>
      <c r="H22" s="314"/>
      <c r="I22" s="314"/>
      <c r="J22" s="314"/>
      <c r="K22" s="314"/>
      <c r="L22" s="317"/>
      <c r="M22" s="322"/>
    </row>
    <row r="23" spans="1:13">
      <c r="A23" s="133"/>
      <c r="B23" s="317"/>
      <c r="C23" s="317"/>
      <c r="D23" s="317"/>
      <c r="E23" s="317"/>
      <c r="F23" s="317"/>
      <c r="G23" s="319"/>
      <c r="H23" s="314"/>
      <c r="I23" s="314"/>
      <c r="J23" s="314"/>
      <c r="K23" s="314"/>
      <c r="L23" s="317"/>
      <c r="M23" s="322"/>
    </row>
    <row r="24" spans="1:13">
      <c r="A24" s="133"/>
      <c r="B24" s="317"/>
      <c r="C24" s="317"/>
      <c r="D24" s="317"/>
      <c r="E24" s="317"/>
      <c r="F24" s="317"/>
      <c r="G24" s="319"/>
      <c r="H24" s="314"/>
      <c r="I24" s="314"/>
      <c r="J24" s="314"/>
      <c r="K24" s="314"/>
      <c r="L24" s="317"/>
      <c r="M24" s="322"/>
    </row>
    <row r="25" spans="1:13">
      <c r="A25" s="133"/>
      <c r="B25" s="317"/>
      <c r="C25" s="317"/>
      <c r="D25" s="317"/>
      <c r="E25" s="317"/>
      <c r="F25" s="317"/>
      <c r="G25" s="319"/>
      <c r="H25" s="314"/>
      <c r="I25" s="314"/>
      <c r="J25" s="314"/>
      <c r="K25" s="314"/>
      <c r="L25" s="317"/>
      <c r="M25" s="322"/>
    </row>
    <row r="26" spans="1:13">
      <c r="A26" s="133"/>
      <c r="B26" s="317"/>
      <c r="C26" s="317"/>
      <c r="D26" s="317"/>
      <c r="E26" s="317"/>
      <c r="F26" s="317"/>
      <c r="G26" s="319"/>
      <c r="H26" s="314"/>
      <c r="I26" s="314"/>
      <c r="J26" s="314"/>
      <c r="K26" s="314"/>
      <c r="L26" s="317"/>
      <c r="M26" s="322"/>
    </row>
    <row r="27" spans="1:13">
      <c r="A27" s="133"/>
      <c r="B27" s="317"/>
      <c r="C27" s="317"/>
      <c r="D27" s="317"/>
      <c r="E27" s="317"/>
      <c r="F27" s="317"/>
      <c r="G27" s="319"/>
      <c r="H27" s="314"/>
      <c r="I27" s="314"/>
      <c r="J27" s="314"/>
      <c r="K27" s="314"/>
      <c r="L27" s="317"/>
      <c r="M27" s="322"/>
    </row>
    <row r="28" spans="1:13">
      <c r="A28" s="133"/>
      <c r="B28" s="317"/>
      <c r="C28" s="317"/>
      <c r="D28" s="317"/>
      <c r="E28" s="317"/>
      <c r="F28" s="317"/>
      <c r="G28" s="319"/>
      <c r="H28" s="314"/>
      <c r="I28" s="314"/>
      <c r="J28" s="314"/>
      <c r="K28" s="314"/>
      <c r="L28" s="317"/>
      <c r="M28" s="322"/>
    </row>
    <row r="29" spans="1:13">
      <c r="A29" s="133"/>
      <c r="B29" s="317"/>
      <c r="C29" s="317"/>
      <c r="D29" s="317"/>
      <c r="E29" s="317"/>
      <c r="F29" s="317"/>
      <c r="G29" s="319"/>
      <c r="H29" s="314"/>
      <c r="I29" s="314"/>
      <c r="J29" s="314"/>
      <c r="K29" s="314"/>
      <c r="L29" s="317"/>
      <c r="M29" s="322"/>
    </row>
    <row r="30" spans="1:13">
      <c r="A30" s="133"/>
      <c r="B30" s="317"/>
      <c r="C30" s="317"/>
      <c r="D30" s="317"/>
      <c r="E30" s="317"/>
      <c r="F30" s="317"/>
      <c r="G30" s="319"/>
      <c r="H30" s="314"/>
      <c r="I30" s="314"/>
      <c r="J30" s="314"/>
      <c r="K30" s="314"/>
      <c r="L30" s="317"/>
      <c r="M30" s="322"/>
    </row>
    <row r="31" spans="1:13">
      <c r="A31" s="133"/>
      <c r="B31" s="317"/>
      <c r="C31" s="317"/>
      <c r="D31" s="317"/>
      <c r="E31" s="317"/>
      <c r="F31" s="317"/>
      <c r="G31" s="319"/>
      <c r="H31" s="314"/>
      <c r="I31" s="314"/>
      <c r="J31" s="314"/>
      <c r="K31" s="314"/>
      <c r="L31" s="317"/>
      <c r="M31" s="322"/>
    </row>
    <row r="32" spans="1:13">
      <c r="A32" s="133"/>
      <c r="B32" s="317"/>
      <c r="C32" s="317"/>
      <c r="D32" s="317"/>
      <c r="E32" s="317"/>
      <c r="F32" s="317"/>
      <c r="G32" s="319"/>
      <c r="H32" s="314"/>
      <c r="I32" s="314"/>
      <c r="J32" s="314"/>
      <c r="K32" s="314"/>
      <c r="L32" s="317"/>
      <c r="M32" s="322"/>
    </row>
    <row r="33" spans="1:13">
      <c r="A33" s="133"/>
      <c r="B33" s="317"/>
      <c r="C33" s="317"/>
      <c r="D33" s="317"/>
      <c r="E33" s="317"/>
      <c r="F33" s="317"/>
      <c r="G33" s="319"/>
      <c r="H33" s="314"/>
      <c r="I33" s="314"/>
      <c r="J33" s="314"/>
      <c r="K33" s="314"/>
      <c r="L33" s="317"/>
      <c r="M33" s="322"/>
    </row>
    <row r="34" spans="1:13">
      <c r="A34" s="133"/>
      <c r="B34" s="317"/>
      <c r="C34" s="317"/>
      <c r="D34" s="317"/>
      <c r="E34" s="317"/>
      <c r="F34" s="317"/>
      <c r="G34" s="319"/>
      <c r="H34" s="314"/>
      <c r="I34" s="314"/>
      <c r="J34" s="314"/>
      <c r="K34" s="314"/>
      <c r="L34" s="317"/>
      <c r="M34" s="322"/>
    </row>
    <row r="35" spans="1:13">
      <c r="A35" s="133"/>
      <c r="B35" s="317"/>
      <c r="C35" s="317"/>
      <c r="D35" s="317"/>
      <c r="E35" s="317"/>
      <c r="F35" s="317"/>
      <c r="G35" s="319"/>
      <c r="H35" s="314"/>
      <c r="I35" s="314"/>
      <c r="J35" s="314"/>
      <c r="K35" s="314"/>
      <c r="L35" s="317"/>
      <c r="M35" s="322"/>
    </row>
    <row r="36" spans="1:13">
      <c r="A36" s="133"/>
      <c r="B36" s="317"/>
      <c r="C36" s="317"/>
      <c r="D36" s="317"/>
      <c r="E36" s="317"/>
      <c r="F36" s="317"/>
      <c r="G36" s="319"/>
      <c r="H36" s="314"/>
      <c r="I36" s="314"/>
      <c r="J36" s="314"/>
      <c r="K36" s="314"/>
      <c r="L36" s="317"/>
      <c r="M36" s="322"/>
    </row>
    <row r="37" spans="1:13">
      <c r="A37" s="133"/>
      <c r="B37" s="317"/>
      <c r="C37" s="317"/>
      <c r="D37" s="317"/>
      <c r="E37" s="317"/>
      <c r="F37" s="317"/>
      <c r="G37" s="319"/>
      <c r="H37" s="314"/>
      <c r="I37" s="314"/>
      <c r="J37" s="314"/>
      <c r="K37" s="314"/>
      <c r="L37" s="317"/>
      <c r="M37" s="322"/>
    </row>
    <row r="38" spans="1:13">
      <c r="A38" s="133"/>
      <c r="B38" s="317"/>
      <c r="C38" s="317"/>
      <c r="D38" s="317"/>
      <c r="E38" s="317"/>
      <c r="F38" s="317"/>
      <c r="G38" s="319"/>
      <c r="H38" s="314"/>
      <c r="I38" s="314"/>
      <c r="J38" s="314"/>
      <c r="K38" s="314"/>
      <c r="L38" s="317"/>
      <c r="M38" s="322"/>
    </row>
    <row r="39" spans="1:13">
      <c r="A39" s="133"/>
      <c r="B39" s="317"/>
      <c r="C39" s="317"/>
      <c r="D39" s="317"/>
      <c r="E39" s="317"/>
      <c r="F39" s="317"/>
      <c r="G39" s="319"/>
      <c r="H39" s="314"/>
      <c r="I39" s="314"/>
      <c r="J39" s="314"/>
      <c r="K39" s="314"/>
      <c r="L39" s="317"/>
      <c r="M39" s="322"/>
    </row>
    <row r="40" spans="1:13">
      <c r="A40" s="133"/>
      <c r="B40" s="317"/>
      <c r="C40" s="317"/>
      <c r="D40" s="317"/>
      <c r="E40" s="317"/>
      <c r="F40" s="317"/>
      <c r="G40" s="319"/>
      <c r="H40" s="314"/>
      <c r="I40" s="314"/>
      <c r="J40" s="314"/>
      <c r="K40" s="314"/>
      <c r="L40" s="317"/>
      <c r="M40" s="322"/>
    </row>
    <row r="41" spans="1:13">
      <c r="A41" s="133"/>
      <c r="B41" s="317"/>
      <c r="C41" s="317"/>
      <c r="D41" s="317"/>
      <c r="E41" s="317"/>
      <c r="F41" s="317"/>
      <c r="G41" s="319"/>
      <c r="H41" s="314"/>
      <c r="I41" s="314"/>
      <c r="J41" s="314"/>
      <c r="K41" s="314"/>
      <c r="L41" s="317"/>
      <c r="M41" s="322"/>
    </row>
    <row r="42" spans="1:13">
      <c r="A42" s="133"/>
      <c r="B42" s="317"/>
      <c r="C42" s="317"/>
      <c r="D42" s="317"/>
      <c r="E42" s="317"/>
      <c r="F42" s="317"/>
      <c r="G42" s="319"/>
      <c r="H42" s="314"/>
      <c r="I42" s="314"/>
      <c r="J42" s="314"/>
      <c r="K42" s="314"/>
      <c r="L42" s="317"/>
      <c r="M42" s="322"/>
    </row>
    <row r="43" spans="1:13" ht="28.5" customHeight="1">
      <c r="A43" s="133"/>
      <c r="B43" s="317"/>
      <c r="C43" s="317"/>
      <c r="D43" s="317"/>
      <c r="E43" s="317"/>
      <c r="F43" s="317"/>
      <c r="G43" s="319"/>
      <c r="H43" s="314"/>
      <c r="I43" s="314"/>
      <c r="J43" s="314"/>
      <c r="K43" s="314"/>
      <c r="L43" s="317"/>
      <c r="M43" s="322"/>
    </row>
    <row r="44" spans="1:13" s="412" customFormat="1" ht="40.799999999999997" customHeight="1" thickBot="1">
      <c r="A44" s="419" t="s">
        <v>204</v>
      </c>
      <c r="B44" s="420">
        <f>B10</f>
        <v>18283</v>
      </c>
      <c r="C44" s="421"/>
      <c r="D44" s="421"/>
      <c r="E44" s="421"/>
      <c r="F44" s="421">
        <f>F10</f>
        <v>18283</v>
      </c>
      <c r="G44" s="422">
        <f>G10</f>
        <v>100</v>
      </c>
      <c r="H44" s="423"/>
      <c r="I44" s="423"/>
      <c r="J44" s="423"/>
      <c r="K44" s="423"/>
      <c r="L44" s="421">
        <f>L10</f>
        <v>18283</v>
      </c>
      <c r="M44" s="424">
        <f>M10</f>
        <v>100</v>
      </c>
    </row>
  </sheetData>
  <mergeCells count="19">
    <mergeCell ref="A1:M1"/>
    <mergeCell ref="A2:M2"/>
    <mergeCell ref="A3:M3"/>
    <mergeCell ref="B5:M5"/>
    <mergeCell ref="A4:M4"/>
    <mergeCell ref="F7:G7"/>
    <mergeCell ref="J7:K7"/>
    <mergeCell ref="L6:M6"/>
    <mergeCell ref="A6:A8"/>
    <mergeCell ref="B6:G6"/>
    <mergeCell ref="H6:K6"/>
    <mergeCell ref="B7:B8"/>
    <mergeCell ref="L7:L8"/>
    <mergeCell ref="M7:M8"/>
    <mergeCell ref="D7:D8"/>
    <mergeCell ref="H7:H8"/>
    <mergeCell ref="I7:I8"/>
    <mergeCell ref="C7:C8"/>
    <mergeCell ref="E7:E8"/>
  </mergeCells>
  <phoneticPr fontId="14" type="noConversion"/>
  <printOptions horizontalCentered="1"/>
  <pageMargins left="0.6692913385826772" right="0.6692913385826772" top="0.59055118110236227" bottom="0.78740157480314965" header="0.51181102362204722" footer="0.51181102362204722"/>
  <pageSetup paperSize="9" scale="92" firstPageNumber="32" orientation="portrait" useFirstPageNumber="1" r:id="rId1"/>
  <headerFooter scaleWithDoc="0" alignWithMargins="0">
    <oddFooter>&amp;C&amp;"Arial Unicode MS,標準"&amp;P</oddFooter>
  </headerFooter>
</worksheet>
</file>

<file path=xl/worksheets/sheet26.xml><?xml version="1.0" encoding="utf-8"?>
<worksheet xmlns="http://schemas.openxmlformats.org/spreadsheetml/2006/main" xmlns:r="http://schemas.openxmlformats.org/officeDocument/2006/relationships">
  <sheetPr codeName="Sheet26"/>
  <dimension ref="A16:I16"/>
  <sheetViews>
    <sheetView zoomScale="50" workbookViewId="0">
      <selection activeCell="K14" sqref="K14"/>
    </sheetView>
  </sheetViews>
  <sheetFormatPr defaultColWidth="9" defaultRowHeight="16.2"/>
  <cols>
    <col min="1" max="8" width="9" style="1"/>
    <col min="9" max="9" width="14.109375" style="1" customWidth="1"/>
    <col min="10" max="16384" width="9" style="1"/>
  </cols>
  <sheetData>
    <row r="16" spans="1:9" ht="49.8">
      <c r="A16" s="971" t="s">
        <v>756</v>
      </c>
      <c r="B16" s="971"/>
      <c r="C16" s="971"/>
      <c r="D16" s="971"/>
      <c r="E16" s="971"/>
      <c r="F16" s="971"/>
      <c r="G16" s="971"/>
      <c r="H16" s="971"/>
      <c r="I16" s="971"/>
    </row>
  </sheetData>
  <mergeCells count="1">
    <mergeCell ref="A16:I16"/>
  </mergeCells>
  <phoneticPr fontId="14" type="noConversion"/>
  <pageMargins left="0.74803149606299213" right="0.74803149606299213" top="0.98425196850393704" bottom="0.98425196850393704" header="0.51181102362204722" footer="0.51181102362204722"/>
  <pageSetup paperSize="9" firstPageNumber="33" orientation="portrait" useFirstPageNumber="1" r:id="rId1"/>
  <headerFooter alignWithMargins="0">
    <oddFooter>&amp;C&amp;"Arial,標準"&amp;P</oddFooter>
  </headerFooter>
</worksheet>
</file>

<file path=xl/worksheets/sheet27.xml><?xml version="1.0" encoding="utf-8"?>
<worksheet xmlns="http://schemas.openxmlformats.org/spreadsheetml/2006/main" xmlns:r="http://schemas.openxmlformats.org/officeDocument/2006/relationships">
  <sheetPr codeName="Sheet28">
    <tabColor rgb="FFFFFFCC"/>
  </sheetPr>
  <dimension ref="A1:X29"/>
  <sheetViews>
    <sheetView view="pageBreakPreview" zoomScaleNormal="100" workbookViewId="0">
      <selection activeCell="K14" sqref="K14"/>
    </sheetView>
  </sheetViews>
  <sheetFormatPr defaultRowHeight="16.2"/>
  <cols>
    <col min="1" max="1" width="20.44140625" customWidth="1"/>
    <col min="2" max="3" width="10.6640625" customWidth="1"/>
    <col min="4" max="4" width="10" customWidth="1"/>
    <col min="5" max="5" width="11.77734375" customWidth="1"/>
    <col min="6" max="6" width="7.88671875" customWidth="1"/>
    <col min="8" max="8" width="11.88671875" customWidth="1"/>
    <col min="9" max="9" width="0.33203125" customWidth="1"/>
    <col min="10" max="10" width="16.44140625" customWidth="1"/>
    <col min="11" max="11" width="10.88671875" customWidth="1"/>
    <col min="12" max="12" width="10.21875" customWidth="1"/>
    <col min="13" max="13" width="9.33203125" customWidth="1"/>
    <col min="14" max="17" width="11.33203125" customWidth="1"/>
  </cols>
  <sheetData>
    <row r="1" spans="1:24" s="150" customFormat="1" ht="24.6">
      <c r="A1" s="1187" t="s">
        <v>411</v>
      </c>
      <c r="B1" s="1188"/>
      <c r="C1" s="1188"/>
      <c r="D1" s="1188"/>
      <c r="E1" s="1188"/>
      <c r="F1" s="1188"/>
      <c r="G1" s="1188"/>
      <c r="H1" s="1188"/>
      <c r="I1" s="310"/>
      <c r="J1" s="1190" t="s">
        <v>412</v>
      </c>
      <c r="K1" s="1191"/>
      <c r="L1" s="1191"/>
      <c r="M1" s="1191"/>
      <c r="N1" s="1191"/>
      <c r="O1" s="1191"/>
      <c r="P1" s="1191"/>
      <c r="Q1" s="1191"/>
    </row>
    <row r="2" spans="1:24" s="169" customFormat="1" ht="22.2">
      <c r="A2" s="1179" t="s">
        <v>410</v>
      </c>
      <c r="B2" s="1180"/>
      <c r="C2" s="1180"/>
      <c r="D2" s="1180"/>
      <c r="E2" s="1180"/>
      <c r="F2" s="1180"/>
      <c r="G2" s="1180"/>
      <c r="H2" s="1180"/>
      <c r="I2" s="309"/>
      <c r="J2" s="1192" t="s">
        <v>413</v>
      </c>
      <c r="K2" s="1193"/>
      <c r="L2" s="1193"/>
      <c r="M2" s="1193"/>
      <c r="N2" s="1193"/>
      <c r="O2" s="1193"/>
      <c r="P2" s="1193"/>
      <c r="Q2" s="1193"/>
    </row>
    <row r="3" spans="1:24" s="169" customFormat="1" ht="22.2">
      <c r="A3" s="1181" t="s">
        <v>409</v>
      </c>
      <c r="B3" s="1182"/>
      <c r="C3" s="1182"/>
      <c r="D3" s="1182"/>
      <c r="E3" s="1182"/>
      <c r="F3" s="1182"/>
      <c r="G3" s="1182"/>
      <c r="H3" s="1182"/>
      <c r="I3" s="309"/>
      <c r="J3" s="1183" t="s">
        <v>414</v>
      </c>
      <c r="K3" s="1184"/>
      <c r="L3" s="1184"/>
      <c r="M3" s="1184"/>
      <c r="N3" s="1184"/>
      <c r="O3" s="1184"/>
      <c r="P3" s="1184"/>
      <c r="Q3" s="1184"/>
    </row>
    <row r="4" spans="1:24" s="170" customFormat="1" ht="19.8">
      <c r="A4" s="1186" t="s">
        <v>408</v>
      </c>
      <c r="B4" s="1186"/>
      <c r="C4" s="1186"/>
      <c r="D4" s="1186"/>
      <c r="E4" s="1186"/>
      <c r="F4" s="1186"/>
      <c r="G4" s="1186"/>
      <c r="H4" s="1186"/>
      <c r="I4" s="307"/>
      <c r="J4" s="1185" t="s">
        <v>1039</v>
      </c>
      <c r="K4" s="1185"/>
      <c r="L4" s="1185"/>
      <c r="M4" s="1185"/>
      <c r="N4" s="1185"/>
      <c r="O4" s="1185"/>
      <c r="P4" s="1185"/>
      <c r="Q4" s="1185"/>
    </row>
    <row r="5" spans="1:24" s="1" customFormat="1" ht="16.8" thickBot="1">
      <c r="B5" s="41"/>
      <c r="C5" s="41"/>
      <c r="H5" s="1143"/>
      <c r="I5" s="1143"/>
      <c r="J5" s="1143"/>
      <c r="O5" s="1194" t="s">
        <v>174</v>
      </c>
      <c r="P5" s="1194"/>
      <c r="Q5" s="1194"/>
    </row>
    <row r="6" spans="1:24">
      <c r="A6" s="1155" t="s">
        <v>250</v>
      </c>
      <c r="B6" s="1153" t="s">
        <v>251</v>
      </c>
      <c r="C6" s="1158"/>
      <c r="D6" s="1158"/>
      <c r="E6" s="1158"/>
      <c r="F6" s="1158"/>
      <c r="G6" s="1158"/>
      <c r="H6" s="1158"/>
      <c r="I6" s="1158"/>
      <c r="J6" s="1158"/>
      <c r="K6" s="1158"/>
      <c r="L6" s="1158"/>
      <c r="M6" s="1159"/>
      <c r="N6" s="1153" t="s">
        <v>252</v>
      </c>
      <c r="O6" s="1158"/>
      <c r="P6" s="1158"/>
      <c r="Q6" s="1154"/>
    </row>
    <row r="7" spans="1:24">
      <c r="A7" s="1156"/>
      <c r="B7" s="1149" t="s">
        <v>253</v>
      </c>
      <c r="C7" s="1195"/>
      <c r="D7" s="1195"/>
      <c r="E7" s="1195"/>
      <c r="F7" s="1195"/>
      <c r="G7" s="1150"/>
      <c r="H7" s="1162" t="s">
        <v>221</v>
      </c>
      <c r="I7" s="141"/>
      <c r="J7" s="1162" t="s">
        <v>254</v>
      </c>
      <c r="K7" s="1162" t="s">
        <v>255</v>
      </c>
      <c r="L7" s="1162" t="s">
        <v>256</v>
      </c>
      <c r="M7" s="1162" t="s">
        <v>257</v>
      </c>
      <c r="N7" s="1196" t="s">
        <v>210</v>
      </c>
      <c r="O7" s="1198"/>
      <c r="P7" s="1149" t="s">
        <v>222</v>
      </c>
      <c r="Q7" s="1203"/>
    </row>
    <row r="8" spans="1:24">
      <c r="A8" s="1156"/>
      <c r="B8" s="1162" t="s">
        <v>224</v>
      </c>
      <c r="C8" s="1196" t="s">
        <v>258</v>
      </c>
      <c r="D8" s="1197"/>
      <c r="E8" s="1197"/>
      <c r="F8" s="1198"/>
      <c r="G8" s="1162" t="s">
        <v>225</v>
      </c>
      <c r="H8" s="1199"/>
      <c r="I8" s="140"/>
      <c r="J8" s="1178"/>
      <c r="K8" s="1178"/>
      <c r="L8" s="1178"/>
      <c r="M8" s="1178"/>
      <c r="N8" s="1162" t="s">
        <v>186</v>
      </c>
      <c r="O8" s="1162" t="s">
        <v>259</v>
      </c>
      <c r="P8" s="1162" t="s">
        <v>186</v>
      </c>
      <c r="Q8" s="1164" t="s">
        <v>259</v>
      </c>
    </row>
    <row r="9" spans="1:24" ht="32.4">
      <c r="A9" s="1157"/>
      <c r="B9" s="1189"/>
      <c r="C9" s="130" t="s">
        <v>176</v>
      </c>
      <c r="D9" s="131" t="s">
        <v>260</v>
      </c>
      <c r="E9" s="131" t="s">
        <v>226</v>
      </c>
      <c r="F9" s="131" t="s">
        <v>177</v>
      </c>
      <c r="G9" s="1163"/>
      <c r="H9" s="1163"/>
      <c r="I9" s="142"/>
      <c r="J9" s="1161"/>
      <c r="K9" s="1161"/>
      <c r="L9" s="1161"/>
      <c r="M9" s="1161"/>
      <c r="N9" s="1163"/>
      <c r="O9" s="1161"/>
      <c r="P9" s="1163"/>
      <c r="Q9" s="1202" t="s">
        <v>223</v>
      </c>
    </row>
    <row r="10" spans="1:24" s="434" customFormat="1" ht="33" customHeight="1">
      <c r="A10" s="426" t="s">
        <v>133</v>
      </c>
      <c r="B10" s="427">
        <f>SUM(B11:B12)</f>
        <v>18283</v>
      </c>
      <c r="C10" s="427">
        <f>SUM(C11:C12)</f>
        <v>18283</v>
      </c>
      <c r="D10" s="451">
        <f>SUM(D11:D12)</f>
        <v>0</v>
      </c>
      <c r="E10" s="427">
        <f>SUM(E11:E12)</f>
        <v>0</v>
      </c>
      <c r="F10" s="427">
        <f>SUM(F11:F12)</f>
        <v>0</v>
      </c>
      <c r="G10" s="427">
        <v>0</v>
      </c>
      <c r="H10" s="428"/>
      <c r="I10" s="429"/>
      <c r="J10" s="430"/>
      <c r="K10" s="431"/>
      <c r="L10" s="431"/>
      <c r="M10" s="431"/>
      <c r="N10" s="427">
        <f>SUM(N11:N12)</f>
        <v>18283</v>
      </c>
      <c r="O10" s="432">
        <f>N10/B10*100</f>
        <v>100</v>
      </c>
      <c r="P10" s="427">
        <f>SUM(P11:P12)</f>
        <v>18283</v>
      </c>
      <c r="Q10" s="433">
        <f>P10/B10*100</f>
        <v>100</v>
      </c>
      <c r="R10" s="1200" t="s">
        <v>662</v>
      </c>
      <c r="S10" s="1201"/>
      <c r="T10" s="1201"/>
      <c r="U10" s="1201"/>
      <c r="V10" s="1201"/>
      <c r="W10" s="1201"/>
      <c r="X10" s="1201"/>
    </row>
    <row r="11" spans="1:24" s="272" customFormat="1" ht="33" hidden="1" customHeight="1">
      <c r="A11" s="133" t="s">
        <v>227</v>
      </c>
      <c r="B11" s="513">
        <v>0</v>
      </c>
      <c r="C11" s="513">
        <f>B11-E11</f>
        <v>0</v>
      </c>
      <c r="D11" s="452">
        <v>0</v>
      </c>
      <c r="E11" s="172">
        <v>0</v>
      </c>
      <c r="F11" s="452">
        <v>0</v>
      </c>
      <c r="G11" s="427">
        <v>0</v>
      </c>
      <c r="H11" s="137"/>
      <c r="I11" s="128"/>
      <c r="J11" s="138"/>
      <c r="K11" s="124"/>
      <c r="L11" s="124"/>
      <c r="M11" s="124"/>
      <c r="N11" s="173">
        <f>'31.固定資產建改擴明細表'!H10</f>
        <v>0</v>
      </c>
      <c r="O11" s="132" t="e">
        <f>N11/B11*100</f>
        <v>#DIV/0!</v>
      </c>
      <c r="P11" s="513">
        <v>0</v>
      </c>
      <c r="Q11" s="293" t="e">
        <f>P11/B11*100</f>
        <v>#DIV/0!</v>
      </c>
      <c r="R11" s="1201"/>
      <c r="S11" s="1201"/>
      <c r="T11" s="1201"/>
      <c r="U11" s="1201"/>
      <c r="V11" s="1201"/>
      <c r="W11" s="1201"/>
      <c r="X11" s="1201"/>
    </row>
    <row r="12" spans="1:24" s="272" customFormat="1" ht="33" customHeight="1">
      <c r="A12" s="135" t="s">
        <v>406</v>
      </c>
      <c r="B12" s="173">
        <f>SUM(C12:F12)</f>
        <v>18283</v>
      </c>
      <c r="C12" s="173">
        <f>'32.固定資產資金來源明細表'!B13</f>
        <v>18283</v>
      </c>
      <c r="D12" s="452">
        <v>0</v>
      </c>
      <c r="E12" s="452">
        <v>0</v>
      </c>
      <c r="F12" s="452">
        <v>0</v>
      </c>
      <c r="G12" s="427">
        <v>0</v>
      </c>
      <c r="H12" s="137"/>
      <c r="I12" s="128"/>
      <c r="J12" s="138" t="s">
        <v>1040</v>
      </c>
      <c r="K12" s="124"/>
      <c r="L12" s="124"/>
      <c r="M12" s="124"/>
      <c r="N12" s="173">
        <f>'31.固定資產建改擴明細表'!H12</f>
        <v>18283</v>
      </c>
      <c r="O12" s="132">
        <f>N12/B12*100</f>
        <v>100</v>
      </c>
      <c r="P12" s="173">
        <f>N12</f>
        <v>18283</v>
      </c>
      <c r="Q12" s="293">
        <f>P12/B12*100</f>
        <v>100</v>
      </c>
      <c r="R12" s="1201"/>
      <c r="S12" s="1201"/>
      <c r="T12" s="1201"/>
      <c r="U12" s="1201"/>
      <c r="V12" s="1201"/>
      <c r="W12" s="1201"/>
      <c r="X12" s="1201"/>
    </row>
    <row r="13" spans="1:24" s="272" customFormat="1" ht="33" customHeight="1">
      <c r="A13" s="133"/>
      <c r="B13" s="124"/>
      <c r="C13" s="124"/>
      <c r="D13" s="124"/>
      <c r="E13" s="124"/>
      <c r="F13" s="124"/>
      <c r="G13" s="124"/>
      <c r="H13" s="137"/>
      <c r="I13" s="128"/>
      <c r="J13" s="137"/>
      <c r="K13" s="124"/>
      <c r="L13" s="124"/>
      <c r="M13" s="124"/>
      <c r="N13" s="124"/>
      <c r="O13" s="124"/>
      <c r="P13" s="124"/>
      <c r="Q13" s="126"/>
      <c r="R13" s="1201"/>
      <c r="S13" s="1201"/>
      <c r="T13" s="1201"/>
      <c r="U13" s="1201"/>
      <c r="V13" s="1201"/>
      <c r="W13" s="1201"/>
      <c r="X13" s="1201"/>
    </row>
    <row r="14" spans="1:24" s="272" customFormat="1" ht="33" customHeight="1">
      <c r="A14" s="133"/>
      <c r="B14" s="124"/>
      <c r="C14" s="124"/>
      <c r="D14" s="124"/>
      <c r="E14" s="124"/>
      <c r="F14" s="124"/>
      <c r="G14" s="124"/>
      <c r="H14" s="137"/>
      <c r="I14" s="128"/>
      <c r="J14" s="137"/>
      <c r="K14" s="124"/>
      <c r="L14" s="124"/>
      <c r="M14" s="124"/>
      <c r="N14" s="124"/>
      <c r="O14" s="124"/>
      <c r="P14" s="124"/>
      <c r="Q14" s="126"/>
      <c r="R14" s="1201"/>
      <c r="S14" s="1201"/>
      <c r="T14" s="1201"/>
      <c r="U14" s="1201"/>
      <c r="V14" s="1201"/>
      <c r="W14" s="1201"/>
      <c r="X14" s="1201"/>
    </row>
    <row r="15" spans="1:24" s="272" customFormat="1" ht="33" customHeight="1">
      <c r="A15" s="133"/>
      <c r="B15" s="124"/>
      <c r="C15" s="124"/>
      <c r="D15" s="124"/>
      <c r="E15" s="124"/>
      <c r="F15" s="124"/>
      <c r="G15" s="124"/>
      <c r="H15" s="137"/>
      <c r="I15" s="128"/>
      <c r="J15" s="137"/>
      <c r="K15" s="124"/>
      <c r="L15" s="124"/>
      <c r="M15" s="124"/>
      <c r="N15" s="124"/>
      <c r="O15" s="124"/>
      <c r="P15" s="124"/>
      <c r="Q15" s="126"/>
      <c r="R15" s="1201"/>
      <c r="S15" s="1201"/>
      <c r="T15" s="1201"/>
      <c r="U15" s="1201"/>
      <c r="V15" s="1201"/>
      <c r="W15" s="1201"/>
      <c r="X15" s="1201"/>
    </row>
    <row r="16" spans="1:24" s="272" customFormat="1" ht="33" customHeight="1">
      <c r="A16" s="133"/>
      <c r="B16" s="124"/>
      <c r="C16" s="124"/>
      <c r="D16" s="124"/>
      <c r="E16" s="124"/>
      <c r="F16" s="124"/>
      <c r="G16" s="124"/>
      <c r="H16" s="137"/>
      <c r="I16" s="128"/>
      <c r="J16" s="137"/>
      <c r="K16" s="124"/>
      <c r="L16" s="124"/>
      <c r="M16" s="124"/>
      <c r="N16" s="124"/>
      <c r="O16" s="124"/>
      <c r="P16" s="124"/>
      <c r="Q16" s="126"/>
      <c r="R16" s="1201"/>
      <c r="S16" s="1201"/>
      <c r="T16" s="1201"/>
      <c r="U16" s="1201"/>
      <c r="V16" s="1201"/>
      <c r="W16" s="1201"/>
      <c r="X16" s="1201"/>
    </row>
    <row r="17" spans="1:24" s="272" customFormat="1" ht="33" customHeight="1">
      <c r="A17" s="133"/>
      <c r="B17" s="124"/>
      <c r="C17" s="124"/>
      <c r="D17" s="124"/>
      <c r="E17" s="124"/>
      <c r="F17" s="124"/>
      <c r="G17" s="124"/>
      <c r="H17" s="137"/>
      <c r="I17" s="128"/>
      <c r="J17" s="137"/>
      <c r="K17" s="124"/>
      <c r="L17" s="124"/>
      <c r="M17" s="124"/>
      <c r="N17" s="124"/>
      <c r="O17" s="124"/>
      <c r="P17" s="124"/>
      <c r="Q17" s="126"/>
      <c r="R17" s="1201"/>
      <c r="S17" s="1201"/>
      <c r="T17" s="1201"/>
      <c r="U17" s="1201"/>
      <c r="V17" s="1201"/>
      <c r="W17" s="1201"/>
      <c r="X17" s="1201"/>
    </row>
    <row r="18" spans="1:24" s="272" customFormat="1" ht="33" customHeight="1">
      <c r="A18" s="133"/>
      <c r="B18" s="124"/>
      <c r="C18" s="124"/>
      <c r="D18" s="124"/>
      <c r="E18" s="124"/>
      <c r="F18" s="124"/>
      <c r="G18" s="124"/>
      <c r="H18" s="137"/>
      <c r="I18" s="128"/>
      <c r="J18" s="137"/>
      <c r="K18" s="124"/>
      <c r="L18" s="124"/>
      <c r="M18" s="124"/>
      <c r="N18" s="124"/>
      <c r="O18" s="124"/>
      <c r="P18" s="124"/>
      <c r="Q18" s="126"/>
      <c r="R18" s="1201"/>
      <c r="S18" s="1201"/>
      <c r="T18" s="1201"/>
      <c r="U18" s="1201"/>
      <c r="V18" s="1201"/>
      <c r="W18" s="1201"/>
      <c r="X18" s="1201"/>
    </row>
    <row r="19" spans="1:24" s="272" customFormat="1" ht="33" customHeight="1">
      <c r="A19" s="133"/>
      <c r="B19" s="124"/>
      <c r="C19" s="124"/>
      <c r="D19" s="124"/>
      <c r="E19" s="124"/>
      <c r="F19" s="124"/>
      <c r="G19" s="124"/>
      <c r="H19" s="137"/>
      <c r="I19" s="128"/>
      <c r="J19" s="137"/>
      <c r="K19" s="124"/>
      <c r="L19" s="124"/>
      <c r="M19" s="124"/>
      <c r="N19" s="124"/>
      <c r="O19" s="124"/>
      <c r="P19" s="124"/>
      <c r="Q19" s="126"/>
    </row>
    <row r="20" spans="1:24" s="272" customFormat="1" ht="33" customHeight="1">
      <c r="A20" s="133"/>
      <c r="B20" s="124"/>
      <c r="C20" s="124"/>
      <c r="D20" s="124"/>
      <c r="E20" s="124"/>
      <c r="F20" s="124"/>
      <c r="G20" s="124"/>
      <c r="H20" s="137"/>
      <c r="I20" s="128"/>
      <c r="J20" s="137"/>
      <c r="K20" s="124"/>
      <c r="L20" s="124"/>
      <c r="M20" s="124"/>
      <c r="N20" s="124"/>
      <c r="O20" s="124"/>
      <c r="P20" s="124"/>
      <c r="Q20" s="126"/>
    </row>
    <row r="21" spans="1:24" s="272" customFormat="1" ht="33" customHeight="1">
      <c r="A21" s="133"/>
      <c r="B21" s="124"/>
      <c r="C21" s="124"/>
      <c r="D21" s="124"/>
      <c r="E21" s="124"/>
      <c r="F21" s="124"/>
      <c r="G21" s="124"/>
      <c r="H21" s="137"/>
      <c r="I21" s="128"/>
      <c r="J21" s="137"/>
      <c r="K21" s="124"/>
      <c r="L21" s="124"/>
      <c r="M21" s="124"/>
      <c r="N21" s="124"/>
      <c r="O21" s="124"/>
      <c r="P21" s="124"/>
      <c r="Q21" s="126"/>
    </row>
    <row r="22" spans="1:24" s="272" customFormat="1" ht="33" hidden="1" customHeight="1">
      <c r="A22" s="133"/>
      <c r="B22" s="124"/>
      <c r="C22" s="124"/>
      <c r="D22" s="124"/>
      <c r="E22" s="124"/>
      <c r="F22" s="124"/>
      <c r="G22" s="124"/>
      <c r="H22" s="137"/>
      <c r="I22" s="128"/>
      <c r="J22" s="137"/>
      <c r="K22" s="124"/>
      <c r="L22" s="124"/>
      <c r="M22" s="124"/>
      <c r="N22" s="124"/>
      <c r="O22" s="124"/>
      <c r="P22" s="124"/>
      <c r="Q22" s="126"/>
    </row>
    <row r="23" spans="1:24" s="272" customFormat="1" ht="33" customHeight="1">
      <c r="A23" s="133"/>
      <c r="B23" s="124"/>
      <c r="C23" s="124"/>
      <c r="D23" s="124"/>
      <c r="E23" s="124"/>
      <c r="F23" s="124"/>
      <c r="G23" s="124"/>
      <c r="H23" s="137"/>
      <c r="I23" s="128"/>
      <c r="J23" s="137"/>
      <c r="K23" s="124"/>
      <c r="L23" s="124"/>
      <c r="M23" s="124"/>
      <c r="N23" s="124"/>
      <c r="O23" s="124"/>
      <c r="P23" s="124"/>
      <c r="Q23" s="126"/>
    </row>
    <row r="24" spans="1:24" s="272" customFormat="1" ht="33" customHeight="1">
      <c r="A24" s="133"/>
      <c r="B24" s="124"/>
      <c r="C24" s="124"/>
      <c r="D24" s="124"/>
      <c r="E24" s="124"/>
      <c r="F24" s="124"/>
      <c r="G24" s="124"/>
      <c r="H24" s="137"/>
      <c r="I24" s="128"/>
      <c r="J24" s="137"/>
      <c r="K24" s="124"/>
      <c r="L24" s="124"/>
      <c r="M24" s="124"/>
      <c r="N24" s="124"/>
      <c r="O24" s="124"/>
      <c r="P24" s="124"/>
      <c r="Q24" s="126"/>
    </row>
    <row r="25" spans="1:24" s="272" customFormat="1" ht="33" customHeight="1">
      <c r="A25" s="133"/>
      <c r="B25" s="124"/>
      <c r="C25" s="124"/>
      <c r="D25" s="124"/>
      <c r="E25" s="124"/>
      <c r="F25" s="124"/>
      <c r="G25" s="124"/>
      <c r="H25" s="137"/>
      <c r="I25" s="128"/>
      <c r="J25" s="137"/>
      <c r="K25" s="124"/>
      <c r="L25" s="124"/>
      <c r="M25" s="124"/>
      <c r="N25" s="124"/>
      <c r="O25" s="124"/>
      <c r="P25" s="124"/>
      <c r="Q25" s="126"/>
    </row>
    <row r="26" spans="1:24" s="272" customFormat="1" ht="33" customHeight="1">
      <c r="A26" s="133"/>
      <c r="B26" s="124"/>
      <c r="C26" s="124"/>
      <c r="D26" s="124"/>
      <c r="E26" s="124"/>
      <c r="F26" s="124"/>
      <c r="G26" s="124"/>
      <c r="H26" s="137"/>
      <c r="I26" s="128"/>
      <c r="J26" s="137"/>
      <c r="K26" s="124"/>
      <c r="L26" s="124"/>
      <c r="M26" s="124"/>
      <c r="N26" s="124"/>
      <c r="O26" s="124"/>
      <c r="P26" s="124"/>
      <c r="Q26" s="126"/>
    </row>
    <row r="27" spans="1:24" s="272" customFormat="1" ht="33" customHeight="1">
      <c r="A27" s="133"/>
      <c r="B27" s="124"/>
      <c r="C27" s="124"/>
      <c r="D27" s="124"/>
      <c r="E27" s="124"/>
      <c r="F27" s="124"/>
      <c r="G27" s="124"/>
      <c r="H27" s="137"/>
      <c r="I27" s="128"/>
      <c r="J27" s="137"/>
      <c r="K27" s="124"/>
      <c r="L27" s="124"/>
      <c r="M27" s="124"/>
      <c r="N27" s="124"/>
      <c r="O27" s="124"/>
      <c r="P27" s="124"/>
      <c r="Q27" s="126"/>
    </row>
    <row r="28" spans="1:24" s="272" customFormat="1" ht="33" customHeight="1">
      <c r="A28" s="133"/>
      <c r="B28" s="124"/>
      <c r="C28" s="124"/>
      <c r="D28" s="124"/>
      <c r="E28" s="124"/>
      <c r="F28" s="124"/>
      <c r="G28" s="124"/>
      <c r="H28" s="137"/>
      <c r="I28" s="128"/>
      <c r="J28" s="137"/>
      <c r="K28" s="124"/>
      <c r="L28" s="124"/>
      <c r="M28" s="124"/>
      <c r="N28" s="124"/>
      <c r="O28" s="124"/>
      <c r="P28" s="124"/>
      <c r="Q28" s="126"/>
    </row>
    <row r="29" spans="1:24" s="272" customFormat="1" ht="61.8" customHeight="1" thickBot="1">
      <c r="A29" s="136" t="s">
        <v>407</v>
      </c>
      <c r="B29" s="134"/>
      <c r="C29" s="134"/>
      <c r="D29" s="134"/>
      <c r="E29" s="134"/>
      <c r="F29" s="134"/>
      <c r="G29" s="134"/>
      <c r="H29" s="139"/>
      <c r="I29" s="129"/>
      <c r="J29" s="139"/>
      <c r="K29" s="134"/>
      <c r="L29" s="134"/>
      <c r="M29" s="134"/>
      <c r="N29" s="134"/>
      <c r="O29" s="134"/>
      <c r="P29" s="134"/>
      <c r="Q29" s="125"/>
    </row>
  </sheetData>
  <mergeCells count="29">
    <mergeCell ref="R10:X18"/>
    <mergeCell ref="O8:O9"/>
    <mergeCell ref="Q8:Q9"/>
    <mergeCell ref="P8:P9"/>
    <mergeCell ref="P7:Q7"/>
    <mergeCell ref="A1:H1"/>
    <mergeCell ref="B8:B9"/>
    <mergeCell ref="A6:A9"/>
    <mergeCell ref="B6:M6"/>
    <mergeCell ref="J1:Q1"/>
    <mergeCell ref="J2:Q2"/>
    <mergeCell ref="N6:Q6"/>
    <mergeCell ref="G8:G9"/>
    <mergeCell ref="O5:Q5"/>
    <mergeCell ref="L7:L9"/>
    <mergeCell ref="B7:G7"/>
    <mergeCell ref="C8:F8"/>
    <mergeCell ref="N7:O7"/>
    <mergeCell ref="H7:H9"/>
    <mergeCell ref="M7:M9"/>
    <mergeCell ref="N8:N9"/>
    <mergeCell ref="J7:J9"/>
    <mergeCell ref="A2:H2"/>
    <mergeCell ref="H5:J5"/>
    <mergeCell ref="A3:H3"/>
    <mergeCell ref="J3:Q3"/>
    <mergeCell ref="J4:Q4"/>
    <mergeCell ref="A4:H4"/>
    <mergeCell ref="K7:K9"/>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4" orientation="portrait" useFirstPageNumber="1" r:id="rId1"/>
  <headerFooter scaleWithDoc="0" alignWithMargins="0">
    <oddFooter>&amp;C&amp;"Arial Unicode MS,標準"&amp;P</oddFooter>
  </headerFooter>
</worksheet>
</file>

<file path=xl/worksheets/sheet28.xml><?xml version="1.0" encoding="utf-8"?>
<worksheet xmlns="http://schemas.openxmlformats.org/spreadsheetml/2006/main" xmlns:r="http://schemas.openxmlformats.org/officeDocument/2006/relationships">
  <sheetPr codeName="Sheet30">
    <tabColor rgb="FFFFFFCC"/>
  </sheetPr>
  <dimension ref="A1:G26"/>
  <sheetViews>
    <sheetView workbookViewId="0">
      <selection activeCell="K14" sqref="K14"/>
    </sheetView>
  </sheetViews>
  <sheetFormatPr defaultColWidth="9" defaultRowHeight="16.2"/>
  <cols>
    <col min="1" max="1" width="35.88671875" style="624" customWidth="1"/>
    <col min="2" max="3" width="6.6640625" style="624" customWidth="1"/>
    <col min="4" max="6" width="10.6640625" style="624" customWidth="1"/>
    <col min="7" max="7" width="11.33203125" style="624" customWidth="1"/>
    <col min="8" max="16384" width="9" style="624"/>
  </cols>
  <sheetData>
    <row r="1" spans="1:7" s="663" customFormat="1" ht="24.6">
      <c r="A1" s="976" t="s">
        <v>232</v>
      </c>
      <c r="B1" s="976"/>
      <c r="C1" s="976"/>
      <c r="D1" s="976"/>
      <c r="E1" s="976"/>
      <c r="F1" s="976"/>
      <c r="G1" s="976"/>
    </row>
    <row r="2" spans="1:7" s="664" customFormat="1" ht="22.2">
      <c r="A2" s="978" t="s">
        <v>76</v>
      </c>
      <c r="B2" s="978"/>
      <c r="C2" s="978"/>
      <c r="D2" s="978"/>
      <c r="E2" s="978"/>
      <c r="F2" s="978"/>
      <c r="G2" s="978"/>
    </row>
    <row r="3" spans="1:7" s="664" customFormat="1" ht="22.2">
      <c r="A3" s="979" t="s">
        <v>161</v>
      </c>
      <c r="B3" s="979"/>
      <c r="C3" s="979"/>
      <c r="D3" s="979"/>
      <c r="E3" s="979"/>
      <c r="F3" s="979"/>
      <c r="G3" s="979"/>
    </row>
    <row r="4" spans="1:7" s="665" customFormat="1" ht="19.8">
      <c r="A4" s="980" t="s">
        <v>1041</v>
      </c>
      <c r="B4" s="980"/>
      <c r="C4" s="980"/>
      <c r="D4" s="980"/>
      <c r="E4" s="980"/>
      <c r="F4" s="980"/>
      <c r="G4" s="980"/>
    </row>
    <row r="5" spans="1:7" ht="16.8" thickBot="1">
      <c r="F5" s="1207" t="s">
        <v>675</v>
      </c>
      <c r="G5" s="1208"/>
    </row>
    <row r="6" spans="1:7" ht="42" customHeight="1">
      <c r="A6" s="666" t="s">
        <v>449</v>
      </c>
      <c r="B6" s="667" t="s">
        <v>450</v>
      </c>
      <c r="C6" s="667" t="s">
        <v>451</v>
      </c>
      <c r="D6" s="667" t="s">
        <v>162</v>
      </c>
      <c r="E6" s="668" t="s">
        <v>199</v>
      </c>
      <c r="F6" s="668" t="s">
        <v>200</v>
      </c>
      <c r="G6" s="669" t="s">
        <v>156</v>
      </c>
    </row>
    <row r="7" spans="1:7" s="674" customFormat="1" ht="33" customHeight="1">
      <c r="A7" s="670" t="s">
        <v>452</v>
      </c>
      <c r="B7" s="671"/>
      <c r="C7" s="671"/>
      <c r="D7" s="672">
        <v>147999</v>
      </c>
      <c r="E7" s="672">
        <v>12548</v>
      </c>
      <c r="F7" s="672">
        <v>27094</v>
      </c>
      <c r="G7" s="673">
        <f>SUM(B7:F7)</f>
        <v>187641</v>
      </c>
    </row>
    <row r="8" spans="1:7" s="674" customFormat="1" ht="33" customHeight="1">
      <c r="A8" s="670" t="s">
        <v>1127</v>
      </c>
      <c r="B8" s="671"/>
      <c r="C8" s="671"/>
      <c r="D8" s="672">
        <v>16479</v>
      </c>
      <c r="E8" s="672">
        <v>0</v>
      </c>
      <c r="F8" s="672">
        <v>2740</v>
      </c>
      <c r="G8" s="673">
        <f>SUM(B8:F8)</f>
        <v>19219</v>
      </c>
    </row>
    <row r="9" spans="1:7" s="674" customFormat="1" ht="33" customHeight="1">
      <c r="A9" s="675" t="s">
        <v>1128</v>
      </c>
      <c r="B9" s="551"/>
      <c r="C9" s="551"/>
      <c r="D9" s="672">
        <f>'31.固定資產建改擴明細表'!E8</f>
        <v>16745</v>
      </c>
      <c r="E9" s="672">
        <f>'31.固定資產建改擴明細表'!F8</f>
        <v>0</v>
      </c>
      <c r="F9" s="672">
        <f>'31.固定資產建改擴明細表'!G8</f>
        <v>1538</v>
      </c>
      <c r="G9" s="673">
        <f>SUM(B9:F9)</f>
        <v>18283</v>
      </c>
    </row>
    <row r="10" spans="1:7" s="674" customFormat="1" ht="33" customHeight="1">
      <c r="A10" s="675" t="s">
        <v>453</v>
      </c>
      <c r="B10" s="551"/>
      <c r="C10" s="551"/>
      <c r="D10" s="672"/>
      <c r="E10" s="672"/>
      <c r="F10" s="672"/>
      <c r="G10" s="673"/>
    </row>
    <row r="11" spans="1:7" s="674" customFormat="1" ht="33" customHeight="1">
      <c r="A11" s="675" t="s">
        <v>454</v>
      </c>
      <c r="B11" s="551"/>
      <c r="C11" s="551"/>
      <c r="D11" s="672">
        <f>SUM(D7:D9)</f>
        <v>181223</v>
      </c>
      <c r="E11" s="672">
        <f>SUM(E7:E9)</f>
        <v>12548</v>
      </c>
      <c r="F11" s="672">
        <f>SUM(F7:F9)</f>
        <v>31372</v>
      </c>
      <c r="G11" s="924">
        <f>SUM(G7:G9)</f>
        <v>225143</v>
      </c>
    </row>
    <row r="12" spans="1:7" s="674" customFormat="1" ht="33" customHeight="1">
      <c r="A12" s="675" t="s">
        <v>455</v>
      </c>
      <c r="B12" s="1204" t="s">
        <v>459</v>
      </c>
      <c r="C12" s="1205"/>
      <c r="D12" s="1205"/>
      <c r="E12" s="1205"/>
      <c r="F12" s="1205"/>
      <c r="G12" s="1206"/>
    </row>
    <row r="13" spans="1:7" s="674" customFormat="1" ht="33" customHeight="1">
      <c r="A13" s="675" t="s">
        <v>456</v>
      </c>
      <c r="B13" s="1204" t="s">
        <v>470</v>
      </c>
      <c r="C13" s="1205"/>
      <c r="D13" s="1205"/>
      <c r="E13" s="1205"/>
      <c r="F13" s="1205"/>
      <c r="G13" s="1206"/>
    </row>
    <row r="14" spans="1:7" s="678" customFormat="1" ht="33" customHeight="1">
      <c r="A14" s="676" t="s">
        <v>457</v>
      </c>
      <c r="B14" s="677"/>
      <c r="C14" s="677"/>
      <c r="D14" s="925">
        <f>SUM(D15)</f>
        <v>17641</v>
      </c>
      <c r="E14" s="925">
        <f>SUM(E15:E15)</f>
        <v>1099</v>
      </c>
      <c r="F14" s="925">
        <f>SUM(F15:F15)</f>
        <v>2369</v>
      </c>
      <c r="G14" s="926">
        <f>SUM(B14:F14)</f>
        <v>21109</v>
      </c>
    </row>
    <row r="15" spans="1:7" s="674" customFormat="1" ht="33" customHeight="1">
      <c r="A15" s="679" t="s">
        <v>458</v>
      </c>
      <c r="B15" s="551"/>
      <c r="C15" s="551"/>
      <c r="D15" s="672">
        <f>'40-41.各項費用彙計表(7級) '!E74</f>
        <v>17641</v>
      </c>
      <c r="E15" s="672">
        <f>'40-41.各項費用彙計表(7級) '!E76</f>
        <v>1099</v>
      </c>
      <c r="F15" s="672">
        <f>'40-41.各項費用彙計表(7級) '!E78</f>
        <v>2369</v>
      </c>
      <c r="G15" s="673">
        <f>SUM(B15:F15)</f>
        <v>21109</v>
      </c>
    </row>
    <row r="16" spans="1:7" ht="33" customHeight="1">
      <c r="A16" s="680"/>
      <c r="B16" s="351"/>
      <c r="C16" s="351"/>
      <c r="D16" s="351"/>
      <c r="E16" s="351"/>
      <c r="F16" s="351"/>
      <c r="G16" s="646"/>
    </row>
    <row r="17" spans="1:7" ht="33" customHeight="1">
      <c r="A17" s="680"/>
      <c r="B17" s="351"/>
      <c r="C17" s="351"/>
      <c r="D17" s="351"/>
      <c r="E17" s="351"/>
      <c r="F17" s="351"/>
      <c r="G17" s="646"/>
    </row>
    <row r="18" spans="1:7" ht="33" customHeight="1">
      <c r="A18" s="680"/>
      <c r="B18" s="351"/>
      <c r="C18" s="351"/>
      <c r="D18" s="351"/>
      <c r="E18" s="351"/>
      <c r="F18" s="351"/>
      <c r="G18" s="646"/>
    </row>
    <row r="19" spans="1:7" ht="33" customHeight="1">
      <c r="A19" s="680"/>
      <c r="B19" s="351"/>
      <c r="C19" s="351"/>
      <c r="D19" s="351"/>
      <c r="E19" s="351"/>
      <c r="F19" s="351"/>
      <c r="G19" s="646"/>
    </row>
    <row r="20" spans="1:7" ht="33" customHeight="1">
      <c r="A20" s="680"/>
      <c r="B20" s="351"/>
      <c r="C20" s="351"/>
      <c r="D20" s="351"/>
      <c r="E20" s="351"/>
      <c r="F20" s="351"/>
      <c r="G20" s="646"/>
    </row>
    <row r="21" spans="1:7" ht="33" customHeight="1">
      <c r="A21" s="680"/>
      <c r="B21" s="351"/>
      <c r="C21" s="351"/>
      <c r="D21" s="351"/>
      <c r="E21" s="351"/>
      <c r="F21" s="351"/>
      <c r="G21" s="646"/>
    </row>
    <row r="22" spans="1:7" ht="33" customHeight="1">
      <c r="A22" s="680"/>
      <c r="B22" s="351"/>
      <c r="C22" s="351"/>
      <c r="D22" s="351"/>
      <c r="E22" s="351"/>
      <c r="F22" s="351"/>
      <c r="G22" s="646"/>
    </row>
    <row r="23" spans="1:7" ht="33" customHeight="1">
      <c r="A23" s="680"/>
      <c r="B23" s="351"/>
      <c r="C23" s="351"/>
      <c r="D23" s="351"/>
      <c r="E23" s="351"/>
      <c r="F23" s="351"/>
      <c r="G23" s="646"/>
    </row>
    <row r="24" spans="1:7" ht="33" customHeight="1">
      <c r="A24" s="680"/>
      <c r="B24" s="351"/>
      <c r="C24" s="351"/>
      <c r="D24" s="351"/>
      <c r="E24" s="351"/>
      <c r="F24" s="351"/>
      <c r="G24" s="646"/>
    </row>
    <row r="25" spans="1:7" ht="33" customHeight="1">
      <c r="A25" s="680"/>
      <c r="B25" s="351"/>
      <c r="C25" s="351"/>
      <c r="D25" s="351"/>
      <c r="E25" s="351"/>
      <c r="F25" s="351"/>
      <c r="G25" s="646"/>
    </row>
    <row r="26" spans="1:7" ht="33.6" customHeight="1" thickBot="1">
      <c r="A26" s="681"/>
      <c r="B26" s="622"/>
      <c r="C26" s="622"/>
      <c r="D26" s="622"/>
      <c r="E26" s="622"/>
      <c r="F26" s="622"/>
      <c r="G26" s="662"/>
    </row>
  </sheetData>
  <mergeCells count="7">
    <mergeCell ref="B12:G12"/>
    <mergeCell ref="B13:G13"/>
    <mergeCell ref="F5:G5"/>
    <mergeCell ref="A1:G1"/>
    <mergeCell ref="A2:G2"/>
    <mergeCell ref="A4:G4"/>
    <mergeCell ref="A3:G3"/>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6" orientation="portrait" blackAndWhite="1" useFirstPageNumber="1" r:id="rId1"/>
  <headerFooter scaleWithDoc="0" alignWithMargins="0">
    <oddFooter>&amp;C&amp;"Arial Unicode MS,標準"&amp;P</oddFooter>
  </headerFooter>
</worksheet>
</file>

<file path=xl/worksheets/sheet29.xml><?xml version="1.0" encoding="utf-8"?>
<worksheet xmlns="http://schemas.openxmlformats.org/spreadsheetml/2006/main" xmlns:r="http://schemas.openxmlformats.org/officeDocument/2006/relationships">
  <sheetPr codeName="Sheet31" enableFormatConditionsCalculation="0">
    <tabColor indexed="42"/>
  </sheetPr>
  <dimension ref="A1:G26"/>
  <sheetViews>
    <sheetView workbookViewId="0">
      <selection activeCell="B12" sqref="B12:G12"/>
    </sheetView>
  </sheetViews>
  <sheetFormatPr defaultColWidth="9" defaultRowHeight="16.2"/>
  <cols>
    <col min="1" max="1" width="35.88671875" style="1" customWidth="1"/>
    <col min="2" max="3" width="6.6640625" style="1" customWidth="1"/>
    <col min="4" max="6" width="10.6640625" style="1" customWidth="1"/>
    <col min="7" max="7" width="11.33203125" style="1" customWidth="1"/>
    <col min="8" max="16384" width="9" style="1"/>
  </cols>
  <sheetData>
    <row r="1" spans="1:7" s="150" customFormat="1" ht="24.6">
      <c r="A1" s="952" t="s">
        <v>514</v>
      </c>
      <c r="B1" s="952"/>
      <c r="C1" s="952"/>
      <c r="D1" s="952"/>
      <c r="E1" s="952"/>
      <c r="F1" s="952"/>
      <c r="G1" s="952"/>
    </row>
    <row r="2" spans="1:7" s="169" customFormat="1" ht="22.2">
      <c r="A2" s="1145" t="s">
        <v>515</v>
      </c>
      <c r="B2" s="1145"/>
      <c r="C2" s="1145"/>
      <c r="D2" s="1145"/>
      <c r="E2" s="1145"/>
      <c r="F2" s="1145"/>
      <c r="G2" s="1145"/>
    </row>
    <row r="3" spans="1:7" s="169" customFormat="1" ht="22.2">
      <c r="A3" s="953" t="s">
        <v>516</v>
      </c>
      <c r="B3" s="953"/>
      <c r="C3" s="953"/>
      <c r="D3" s="953"/>
      <c r="E3" s="953"/>
      <c r="F3" s="953"/>
      <c r="G3" s="953"/>
    </row>
    <row r="4" spans="1:7" s="170" customFormat="1" ht="19.8">
      <c r="A4" s="954" t="s">
        <v>1042</v>
      </c>
      <c r="B4" s="954"/>
      <c r="C4" s="954"/>
      <c r="D4" s="954"/>
      <c r="E4" s="954"/>
      <c r="F4" s="954"/>
      <c r="G4" s="954"/>
    </row>
    <row r="5" spans="1:7" ht="16.8" thickBot="1">
      <c r="F5" s="1212" t="s">
        <v>675</v>
      </c>
      <c r="G5" s="1213"/>
    </row>
    <row r="6" spans="1:7" ht="42" customHeight="1">
      <c r="A6" s="15" t="s">
        <v>517</v>
      </c>
      <c r="B6" s="402" t="s">
        <v>518</v>
      </c>
      <c r="C6" s="402" t="s">
        <v>519</v>
      </c>
      <c r="D6" s="402" t="s">
        <v>520</v>
      </c>
      <c r="E6" s="403" t="s">
        <v>199</v>
      </c>
      <c r="F6" s="403" t="s">
        <v>200</v>
      </c>
      <c r="G6" s="16" t="s">
        <v>521</v>
      </c>
    </row>
    <row r="7" spans="1:7" s="390" customFormat="1" ht="33" customHeight="1">
      <c r="A7" s="324" t="s">
        <v>522</v>
      </c>
      <c r="B7" s="325"/>
      <c r="C7" s="325"/>
      <c r="D7" s="672">
        <v>151370</v>
      </c>
      <c r="E7" s="672">
        <v>12715</v>
      </c>
      <c r="F7" s="672">
        <v>25650</v>
      </c>
      <c r="G7" s="398">
        <f>SUM(B7:F7)</f>
        <v>189735</v>
      </c>
    </row>
    <row r="8" spans="1:7" s="390" customFormat="1" ht="33" customHeight="1">
      <c r="A8" s="324" t="s">
        <v>523</v>
      </c>
      <c r="B8" s="325"/>
      <c r="C8" s="325"/>
      <c r="D8" s="672">
        <v>18898</v>
      </c>
      <c r="E8" s="672">
        <v>0</v>
      </c>
      <c r="F8" s="672">
        <v>252</v>
      </c>
      <c r="G8" s="398">
        <f>SUM(B8:F8)</f>
        <v>19150</v>
      </c>
    </row>
    <row r="9" spans="1:7" s="390" customFormat="1" ht="33" customHeight="1">
      <c r="A9" s="399" t="s">
        <v>524</v>
      </c>
      <c r="B9" s="400"/>
      <c r="C9" s="400"/>
      <c r="D9" s="397">
        <f>'31.固定資產建改擴明細表'!E8</f>
        <v>16745</v>
      </c>
      <c r="E9" s="397">
        <f>'31.固定資產建改擴明細表'!F8</f>
        <v>0</v>
      </c>
      <c r="F9" s="397">
        <f>'31.固定資產建改擴明細表'!G8</f>
        <v>1538</v>
      </c>
      <c r="G9" s="398">
        <f>SUM(B9:F9)</f>
        <v>18283</v>
      </c>
    </row>
    <row r="10" spans="1:7" s="390" customFormat="1" ht="33" customHeight="1">
      <c r="A10" s="399" t="s">
        <v>525</v>
      </c>
      <c r="B10" s="400"/>
      <c r="C10" s="400"/>
      <c r="D10" s="397"/>
      <c r="E10" s="397"/>
      <c r="F10" s="397"/>
      <c r="G10" s="398"/>
    </row>
    <row r="11" spans="1:7" s="390" customFormat="1" ht="33" customHeight="1">
      <c r="A11" s="399" t="s">
        <v>526</v>
      </c>
      <c r="B11" s="400"/>
      <c r="C11" s="400"/>
      <c r="D11" s="397">
        <f>SUM(D7:D9)</f>
        <v>187013</v>
      </c>
      <c r="E11" s="397">
        <f>SUM(E7:E9)</f>
        <v>12715</v>
      </c>
      <c r="F11" s="397">
        <f>SUM(F7:F9)</f>
        <v>27440</v>
      </c>
      <c r="G11" s="496">
        <f>SUM(G7:G9)</f>
        <v>227168</v>
      </c>
    </row>
    <row r="12" spans="1:7" s="390" customFormat="1" ht="33" customHeight="1">
      <c r="A12" s="399" t="s">
        <v>527</v>
      </c>
      <c r="B12" s="1209" t="s">
        <v>528</v>
      </c>
      <c r="C12" s="1210"/>
      <c r="D12" s="1210"/>
      <c r="E12" s="1210"/>
      <c r="F12" s="1210"/>
      <c r="G12" s="1211"/>
    </row>
    <row r="13" spans="1:7" s="390" customFormat="1" ht="33" customHeight="1">
      <c r="A13" s="399" t="s">
        <v>529</v>
      </c>
      <c r="B13" s="1209" t="s">
        <v>530</v>
      </c>
      <c r="C13" s="1210"/>
      <c r="D13" s="1210"/>
      <c r="E13" s="1210"/>
      <c r="F13" s="1210"/>
      <c r="G13" s="1211"/>
    </row>
    <row r="14" spans="1:7" s="412" customFormat="1" ht="33" customHeight="1">
      <c r="A14" s="435" t="s">
        <v>531</v>
      </c>
      <c r="B14" s="436"/>
      <c r="C14" s="436"/>
      <c r="D14" s="437">
        <f>SUM(D15)</f>
        <v>17641</v>
      </c>
      <c r="E14" s="437">
        <f>SUM(E15:E15)</f>
        <v>1099</v>
      </c>
      <c r="F14" s="437">
        <f>SUM(F15:F15)</f>
        <v>2369</v>
      </c>
      <c r="G14" s="438">
        <f>SUM(B14:F14)</f>
        <v>21109</v>
      </c>
    </row>
    <row r="15" spans="1:7" s="390" customFormat="1" ht="33" customHeight="1">
      <c r="A15" s="401" t="s">
        <v>532</v>
      </c>
      <c r="B15" s="400"/>
      <c r="C15" s="400"/>
      <c r="D15" s="397">
        <f>'40-41.各項費用彙計表(7級) '!E74</f>
        <v>17641</v>
      </c>
      <c r="E15" s="397">
        <f>'40-41.各項費用彙計表(7級) '!E76</f>
        <v>1099</v>
      </c>
      <c r="F15" s="397">
        <f>'40-41.各項費用彙計表(7級) '!E78</f>
        <v>2369</v>
      </c>
      <c r="G15" s="398">
        <f>SUM(B15:F15)</f>
        <v>21109</v>
      </c>
    </row>
    <row r="16" spans="1:7" ht="33" customHeight="1">
      <c r="A16" s="101"/>
      <c r="B16" s="8"/>
      <c r="C16" s="8"/>
      <c r="D16" s="8"/>
      <c r="E16" s="8"/>
      <c r="F16" s="8"/>
      <c r="G16" s="19"/>
    </row>
    <row r="17" spans="1:7" ht="33" customHeight="1">
      <c r="A17" s="101"/>
      <c r="B17" s="8"/>
      <c r="C17" s="8"/>
      <c r="D17" s="8"/>
      <c r="E17" s="8"/>
      <c r="F17" s="8"/>
      <c r="G17" s="19"/>
    </row>
    <row r="18" spans="1:7" ht="33" customHeight="1">
      <c r="A18" s="101"/>
      <c r="B18" s="8"/>
      <c r="C18" s="8"/>
      <c r="D18" s="8"/>
      <c r="E18" s="8"/>
      <c r="F18" s="8"/>
      <c r="G18" s="19"/>
    </row>
    <row r="19" spans="1:7" ht="33" customHeight="1">
      <c r="A19" s="101"/>
      <c r="B19" s="8"/>
      <c r="C19" s="8"/>
      <c r="D19" s="8"/>
      <c r="E19" s="8"/>
      <c r="F19" s="8"/>
      <c r="G19" s="19"/>
    </row>
    <row r="20" spans="1:7" ht="33" customHeight="1">
      <c r="A20" s="101"/>
      <c r="B20" s="8"/>
      <c r="C20" s="8"/>
      <c r="D20" s="8"/>
      <c r="E20" s="8"/>
      <c r="F20" s="8"/>
      <c r="G20" s="19"/>
    </row>
    <row r="21" spans="1:7" ht="33" customHeight="1">
      <c r="A21" s="101"/>
      <c r="B21" s="8"/>
      <c r="C21" s="8"/>
      <c r="D21" s="8"/>
      <c r="E21" s="8"/>
      <c r="F21" s="8"/>
      <c r="G21" s="19"/>
    </row>
    <row r="22" spans="1:7" ht="33" customHeight="1">
      <c r="A22" s="101"/>
      <c r="B22" s="8"/>
      <c r="C22" s="8"/>
      <c r="D22" s="8"/>
      <c r="E22" s="8"/>
      <c r="F22" s="8"/>
      <c r="G22" s="19"/>
    </row>
    <row r="23" spans="1:7" ht="33" customHeight="1">
      <c r="A23" s="101"/>
      <c r="B23" s="8"/>
      <c r="C23" s="8"/>
      <c r="D23" s="8"/>
      <c r="E23" s="8"/>
      <c r="F23" s="8"/>
      <c r="G23" s="19"/>
    </row>
    <row r="24" spans="1:7" ht="33" customHeight="1">
      <c r="A24" s="101"/>
      <c r="B24" s="8"/>
      <c r="C24" s="8"/>
      <c r="D24" s="8"/>
      <c r="E24" s="8"/>
      <c r="F24" s="8"/>
      <c r="G24" s="19"/>
    </row>
    <row r="25" spans="1:7" ht="33" customHeight="1">
      <c r="A25" s="101"/>
      <c r="B25" s="8"/>
      <c r="C25" s="8"/>
      <c r="D25" s="8"/>
      <c r="E25" s="8"/>
      <c r="F25" s="8"/>
      <c r="G25" s="19"/>
    </row>
    <row r="26" spans="1:7" ht="51" customHeight="1" thickBot="1">
      <c r="A26" s="102"/>
      <c r="B26" s="26"/>
      <c r="C26" s="26"/>
      <c r="D26" s="26"/>
      <c r="E26" s="26"/>
      <c r="F26" s="26"/>
      <c r="G26" s="28"/>
    </row>
  </sheetData>
  <mergeCells count="7">
    <mergeCell ref="B12:G12"/>
    <mergeCell ref="B13:G13"/>
    <mergeCell ref="F5:G5"/>
    <mergeCell ref="A1:G1"/>
    <mergeCell ref="A2:G2"/>
    <mergeCell ref="A4:G4"/>
    <mergeCell ref="A3:G3"/>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0" orientation="portrait" useFirstPageNumber="1" r:id="rId1"/>
  <headerFooter alignWithMargins="0">
    <oddFooter>&amp;C&amp;"Arial,標準"&amp;P</oddFooter>
  </headerFooter>
</worksheet>
</file>

<file path=xl/worksheets/sheet3.xml><?xml version="1.0" encoding="utf-8"?>
<worksheet xmlns="http://schemas.openxmlformats.org/spreadsheetml/2006/main" xmlns:r="http://schemas.openxmlformats.org/officeDocument/2006/relationships">
  <sheetPr codeName="Sheet4">
    <tabColor rgb="FFFFFFCC"/>
  </sheetPr>
  <dimension ref="A1:E105"/>
  <sheetViews>
    <sheetView topLeftCell="A16" zoomScaleNormal="100" workbookViewId="0">
      <selection activeCell="F32" sqref="F32"/>
    </sheetView>
  </sheetViews>
  <sheetFormatPr defaultColWidth="23.109375" defaultRowHeight="16.2"/>
  <cols>
    <col min="1" max="1" width="5.21875" customWidth="1"/>
    <col min="2" max="2" width="20.77734375" customWidth="1"/>
    <col min="3" max="3" width="19.33203125" customWidth="1"/>
    <col min="4" max="4" width="20.44140625" customWidth="1"/>
    <col min="5" max="5" width="18.77734375" customWidth="1"/>
  </cols>
  <sheetData>
    <row r="1" spans="1:5" s="1" customFormat="1" ht="24.6">
      <c r="B1" s="957" t="s">
        <v>246</v>
      </c>
      <c r="C1" s="957"/>
      <c r="D1" s="957"/>
      <c r="E1" s="957"/>
    </row>
    <row r="2" spans="1:5" s="1" customFormat="1" ht="22.2">
      <c r="B2" s="958" t="s">
        <v>247</v>
      </c>
      <c r="C2" s="958"/>
      <c r="D2" s="958"/>
      <c r="E2" s="958"/>
    </row>
    <row r="3" spans="1:5" s="1" customFormat="1" ht="22.2">
      <c r="B3" s="959" t="s">
        <v>263</v>
      </c>
      <c r="C3" s="959"/>
      <c r="D3" s="959"/>
      <c r="E3" s="959"/>
    </row>
    <row r="4" spans="1:5" s="1" customFormat="1" ht="19.5" customHeight="1">
      <c r="B4" s="960" t="s">
        <v>1030</v>
      </c>
      <c r="C4" s="960"/>
      <c r="D4" s="960"/>
      <c r="E4" s="960"/>
    </row>
    <row r="5" spans="1:5" s="1" customFormat="1" ht="19.5" customHeight="1">
      <c r="A5" s="5"/>
      <c r="B5" s="5"/>
      <c r="C5" s="5"/>
      <c r="D5" s="5"/>
      <c r="E5" s="5"/>
    </row>
    <row r="6" spans="1:5" s="1" customFormat="1" ht="22.2">
      <c r="B6" s="953" t="s">
        <v>1081</v>
      </c>
      <c r="C6" s="953"/>
      <c r="D6" s="953"/>
      <c r="E6" s="953"/>
    </row>
    <row r="7" spans="1:5" s="1" customFormat="1" ht="22.2">
      <c r="B7" s="966" t="s">
        <v>262</v>
      </c>
      <c r="C7" s="967"/>
      <c r="D7" s="967"/>
      <c r="E7" s="967"/>
    </row>
    <row r="8" spans="1:5" s="1" customFormat="1" ht="22.2">
      <c r="B8" s="186"/>
      <c r="C8" s="191"/>
      <c r="D8" s="191"/>
      <c r="E8" s="191"/>
    </row>
    <row r="9" spans="1:5" s="1" customFormat="1" ht="24.6">
      <c r="B9" s="964"/>
      <c r="C9" s="965"/>
      <c r="D9" s="965"/>
      <c r="E9" s="965"/>
    </row>
    <row r="10" spans="1:5" s="1" customFormat="1" ht="17.25" customHeight="1">
      <c r="B10" s="963"/>
      <c r="C10" s="963"/>
      <c r="D10" s="963"/>
      <c r="E10" s="963"/>
    </row>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row r="21" spans="2:5" s="1" customFormat="1">
      <c r="C21" s="456"/>
      <c r="D21" s="456"/>
      <c r="E21" s="456"/>
    </row>
    <row r="22" spans="2:5" s="1" customFormat="1" ht="22.2">
      <c r="B22" s="961" t="s">
        <v>264</v>
      </c>
      <c r="C22" s="962"/>
      <c r="D22" s="962"/>
      <c r="E22" s="962"/>
    </row>
    <row r="23" spans="2:5" s="1" customFormat="1">
      <c r="B23" s="12"/>
      <c r="C23" s="12"/>
      <c r="D23" s="12"/>
    </row>
    <row r="24" spans="2:5" s="1" customFormat="1">
      <c r="B24" s="12"/>
      <c r="C24" s="12"/>
      <c r="D24" s="12"/>
    </row>
    <row r="25" spans="2:5" s="1" customFormat="1"/>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ht="30" customHeight="1"/>
    <row r="36" spans="2:5" s="1" customFormat="1" ht="14.25" customHeight="1">
      <c r="E36" s="11" t="s">
        <v>248</v>
      </c>
    </row>
    <row r="37" spans="2:5" s="1" customFormat="1" ht="25.5" customHeight="1">
      <c r="B37" s="14" t="s">
        <v>265</v>
      </c>
      <c r="C37" s="14" t="s">
        <v>1082</v>
      </c>
      <c r="D37" s="14" t="s">
        <v>266</v>
      </c>
      <c r="E37" s="14" t="s">
        <v>1082</v>
      </c>
    </row>
    <row r="38" spans="2:5" s="1" customFormat="1" ht="25.5" customHeight="1">
      <c r="B38" s="192" t="s">
        <v>162</v>
      </c>
      <c r="C38" s="159">
        <v>16745</v>
      </c>
      <c r="D38" s="563" t="s">
        <v>267</v>
      </c>
      <c r="E38" s="564">
        <f>SUM(E39:E39)</f>
        <v>18283</v>
      </c>
    </row>
    <row r="39" spans="2:5" s="1" customFormat="1" ht="25.5" customHeight="1">
      <c r="B39" s="193" t="s">
        <v>163</v>
      </c>
      <c r="C39" s="159">
        <v>1538</v>
      </c>
      <c r="D39" s="565" t="s">
        <v>269</v>
      </c>
      <c r="E39" s="159">
        <v>18283</v>
      </c>
    </row>
    <row r="40" spans="2:5" s="1" customFormat="1" ht="25.5" customHeight="1">
      <c r="B40" s="2" t="s">
        <v>270</v>
      </c>
      <c r="C40" s="195">
        <f>SUM(C38:C39)</f>
        <v>18283</v>
      </c>
      <c r="D40" s="2" t="s">
        <v>271</v>
      </c>
      <c r="E40" s="195">
        <f>E38</f>
        <v>18283</v>
      </c>
    </row>
    <row r="41" spans="2:5" s="1" customFormat="1"/>
    <row r="42" spans="2:5" s="1" customFormat="1">
      <c r="B42" s="93" t="s">
        <v>162</v>
      </c>
      <c r="C42" s="517">
        <f>C38/$C$40</f>
        <v>0.91587813816113328</v>
      </c>
    </row>
    <row r="43" spans="2:5" s="1" customFormat="1" hidden="1">
      <c r="B43" s="93" t="s">
        <v>755</v>
      </c>
      <c r="C43" s="517" t="e">
        <f>#REF!/$C$40</f>
        <v>#REF!</v>
      </c>
    </row>
    <row r="44" spans="2:5" s="1" customFormat="1">
      <c r="B44" s="93" t="s">
        <v>163</v>
      </c>
      <c r="C44" s="517">
        <f>C39/$C$40</f>
        <v>8.4121861838866704E-2</v>
      </c>
    </row>
    <row r="45" spans="2:5" s="1" customFormat="1"/>
    <row r="46" spans="2:5" s="1" customFormat="1"/>
    <row r="47" spans="2:5" s="1" customFormat="1"/>
    <row r="48" spans="2:5"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s="1" customFormat="1"/>
    <row r="104" spans="2:5" s="1" customFormat="1"/>
    <row r="105" spans="2:5" s="1" customFormat="1">
      <c r="B105"/>
      <c r="C105"/>
      <c r="D105"/>
      <c r="E105"/>
    </row>
  </sheetData>
  <mergeCells count="9">
    <mergeCell ref="B1:E1"/>
    <mergeCell ref="B2:E2"/>
    <mergeCell ref="B3:E3"/>
    <mergeCell ref="B4:E4"/>
    <mergeCell ref="B22:E22"/>
    <mergeCell ref="B10:E10"/>
    <mergeCell ref="B9:E9"/>
    <mergeCell ref="B6:E6"/>
    <mergeCell ref="B7:E7"/>
  </mergeCells>
  <phoneticPr fontId="2" type="noConversion"/>
  <printOptions horizontalCentered="1"/>
  <pageMargins left="0.98425196850393704" right="0.98425196850393704" top="0.59055118110236227" bottom="0.78740157480314965" header="0.51181102362204722" footer="0.51181102362204722"/>
  <pageSetup paperSize="9" firstPageNumber="10" orientation="portrait" useFirstPageNumber="1" r:id="rId1"/>
  <headerFooter scaleWithDoc="0" alignWithMargins="0">
    <oddFooter>&amp;C&amp;"Arial,標準"&amp;P</oddFooter>
  </headerFooter>
  <drawing r:id="rId2"/>
</worksheet>
</file>

<file path=xl/worksheets/sheet30.xml><?xml version="1.0" encoding="utf-8"?>
<worksheet xmlns="http://schemas.openxmlformats.org/spreadsheetml/2006/main" xmlns:r="http://schemas.openxmlformats.org/officeDocument/2006/relationships">
  <sheetPr codeName="Sheet32">
    <tabColor rgb="FFFFFFCC"/>
  </sheetPr>
  <dimension ref="A1:C39"/>
  <sheetViews>
    <sheetView topLeftCell="A28" workbookViewId="0">
      <selection activeCell="K14" sqref="K14"/>
    </sheetView>
  </sheetViews>
  <sheetFormatPr defaultColWidth="9" defaultRowHeight="16.2"/>
  <cols>
    <col min="1" max="1" width="36.6640625" style="1" customWidth="1"/>
    <col min="2" max="2" width="18.6640625" style="1" customWidth="1"/>
    <col min="3" max="3" width="37" style="1" customWidth="1"/>
    <col min="4" max="16384" width="9" style="1"/>
  </cols>
  <sheetData>
    <row r="1" spans="1:3" s="150" customFormat="1" ht="24.6">
      <c r="A1" s="957" t="s">
        <v>232</v>
      </c>
      <c r="B1" s="1214"/>
      <c r="C1" s="1214"/>
    </row>
    <row r="2" spans="1:3" s="169" customFormat="1" ht="22.2">
      <c r="A2" s="958" t="s">
        <v>76</v>
      </c>
      <c r="B2" s="1215"/>
      <c r="C2" s="1215"/>
    </row>
    <row r="3" spans="1:3" s="169" customFormat="1" ht="22.2">
      <c r="A3" s="959" t="s">
        <v>185</v>
      </c>
      <c r="B3" s="1216"/>
      <c r="C3" s="1216"/>
    </row>
    <row r="4" spans="1:3" s="170" customFormat="1" ht="19.8">
      <c r="A4" s="1025" t="s">
        <v>1042</v>
      </c>
      <c r="B4" s="960"/>
      <c r="C4" s="960"/>
    </row>
    <row r="5" spans="1:3" ht="17.25" customHeight="1" thickBot="1">
      <c r="A5" s="3"/>
      <c r="B5" s="121"/>
      <c r="C5" s="11" t="s">
        <v>383</v>
      </c>
    </row>
    <row r="6" spans="1:3" s="108" customFormat="1" ht="42" customHeight="1">
      <c r="A6" s="294" t="s">
        <v>384</v>
      </c>
      <c r="B6" s="295" t="s">
        <v>385</v>
      </c>
      <c r="C6" s="296" t="s">
        <v>187</v>
      </c>
    </row>
    <row r="7" spans="1:3" ht="20.100000000000001" customHeight="1">
      <c r="A7" s="297" t="s">
        <v>188</v>
      </c>
      <c r="B7" s="123">
        <v>127203</v>
      </c>
      <c r="C7" s="175"/>
    </row>
    <row r="8" spans="1:3" ht="20.100000000000001" customHeight="1">
      <c r="A8" s="297" t="s">
        <v>189</v>
      </c>
      <c r="B8" s="122"/>
      <c r="C8" s="176"/>
    </row>
    <row r="9" spans="1:3" ht="20.100000000000001" customHeight="1">
      <c r="A9" s="297" t="s">
        <v>190</v>
      </c>
      <c r="B9" s="146">
        <v>0</v>
      </c>
      <c r="C9" s="176"/>
    </row>
    <row r="10" spans="1:3" ht="20.100000000000001" customHeight="1">
      <c r="A10" s="297"/>
      <c r="B10" s="122"/>
      <c r="C10" s="176"/>
    </row>
    <row r="11" spans="1:3" ht="20.100000000000001" customHeight="1">
      <c r="A11" s="297" t="s">
        <v>191</v>
      </c>
      <c r="B11" s="146">
        <v>0</v>
      </c>
      <c r="C11" s="176"/>
    </row>
    <row r="12" spans="1:3" ht="20.100000000000001" customHeight="1">
      <c r="A12" s="297"/>
      <c r="B12" s="122"/>
      <c r="C12" s="176"/>
    </row>
    <row r="13" spans="1:3" ht="20.100000000000001" customHeight="1">
      <c r="A13" s="297" t="s">
        <v>192</v>
      </c>
      <c r="B13" s="146">
        <v>0</v>
      </c>
      <c r="C13" s="176"/>
    </row>
    <row r="14" spans="1:3" ht="20.100000000000001" customHeight="1">
      <c r="A14" s="297"/>
      <c r="B14" s="122"/>
      <c r="C14" s="176"/>
    </row>
    <row r="15" spans="1:3" ht="20.100000000000001" customHeight="1">
      <c r="A15" s="297" t="s">
        <v>386</v>
      </c>
      <c r="B15" s="146">
        <v>0</v>
      </c>
      <c r="C15" s="176"/>
    </row>
    <row r="16" spans="1:3" ht="20.100000000000001" customHeight="1">
      <c r="A16" s="297"/>
      <c r="B16" s="122"/>
      <c r="C16" s="176"/>
    </row>
    <row r="17" spans="1:3" ht="20.100000000000001" customHeight="1">
      <c r="A17" s="297" t="s">
        <v>193</v>
      </c>
      <c r="B17" s="146">
        <v>0</v>
      </c>
      <c r="C17" s="176"/>
    </row>
    <row r="18" spans="1:3" ht="20.100000000000001" customHeight="1">
      <c r="A18" s="297"/>
      <c r="B18" s="146"/>
      <c r="C18" s="176"/>
    </row>
    <row r="19" spans="1:3" ht="20.100000000000001" customHeight="1">
      <c r="A19" s="297" t="s">
        <v>194</v>
      </c>
      <c r="B19" s="122"/>
      <c r="C19" s="176"/>
    </row>
    <row r="20" spans="1:3" ht="20.100000000000001" customHeight="1">
      <c r="A20" s="297" t="s">
        <v>195</v>
      </c>
      <c r="B20" s="146">
        <v>0</v>
      </c>
      <c r="C20" s="176"/>
    </row>
    <row r="21" spans="1:3" ht="20.100000000000001" customHeight="1">
      <c r="A21" s="297"/>
      <c r="B21" s="122"/>
      <c r="C21" s="176"/>
    </row>
    <row r="22" spans="1:3" ht="20.100000000000001" customHeight="1">
      <c r="A22" s="297" t="s">
        <v>196</v>
      </c>
      <c r="B22" s="146">
        <v>0</v>
      </c>
      <c r="C22" s="176"/>
    </row>
    <row r="23" spans="1:3" ht="20.100000000000001" customHeight="1">
      <c r="A23" s="297"/>
      <c r="B23" s="122"/>
      <c r="C23" s="176"/>
    </row>
    <row r="24" spans="1:3" ht="20.100000000000001" customHeight="1">
      <c r="A24" s="297" t="s">
        <v>193</v>
      </c>
      <c r="B24" s="146">
        <v>0</v>
      </c>
      <c r="C24" s="176"/>
    </row>
    <row r="25" spans="1:3" ht="20.100000000000001" customHeight="1">
      <c r="A25" s="174"/>
      <c r="B25" s="122"/>
      <c r="C25" s="176"/>
    </row>
    <row r="26" spans="1:3" ht="20.100000000000001" customHeight="1">
      <c r="A26" s="174"/>
      <c r="B26" s="122"/>
      <c r="C26" s="176"/>
    </row>
    <row r="27" spans="1:3" ht="20.100000000000001" customHeight="1">
      <c r="A27" s="174"/>
      <c r="B27" s="122"/>
      <c r="C27" s="176"/>
    </row>
    <row r="28" spans="1:3" ht="20.100000000000001" customHeight="1">
      <c r="A28" s="174"/>
      <c r="B28" s="122"/>
      <c r="C28" s="176"/>
    </row>
    <row r="29" spans="1:3" ht="20.100000000000001" customHeight="1">
      <c r="A29" s="174"/>
      <c r="B29" s="122"/>
      <c r="C29" s="176"/>
    </row>
    <row r="30" spans="1:3" ht="20.100000000000001" customHeight="1">
      <c r="A30" s="174"/>
      <c r="B30" s="122"/>
      <c r="C30" s="176"/>
    </row>
    <row r="31" spans="1:3" ht="20.100000000000001" customHeight="1">
      <c r="A31" s="174"/>
      <c r="B31" s="122"/>
      <c r="C31" s="176"/>
    </row>
    <row r="32" spans="1:3" ht="20.100000000000001" customHeight="1">
      <c r="A32" s="174"/>
      <c r="B32" s="122"/>
      <c r="C32" s="176"/>
    </row>
    <row r="33" spans="1:3" ht="20.100000000000001" customHeight="1">
      <c r="A33" s="174"/>
      <c r="B33" s="122"/>
      <c r="C33" s="176"/>
    </row>
    <row r="34" spans="1:3" ht="20.100000000000001" customHeight="1">
      <c r="A34" s="174"/>
      <c r="B34" s="122"/>
      <c r="C34" s="176"/>
    </row>
    <row r="35" spans="1:3" ht="20.100000000000001" customHeight="1">
      <c r="A35" s="174"/>
      <c r="B35" s="122"/>
      <c r="C35" s="176"/>
    </row>
    <row r="36" spans="1:3" ht="20.100000000000001" customHeight="1">
      <c r="A36" s="174"/>
      <c r="B36" s="122"/>
      <c r="C36" s="176"/>
    </row>
    <row r="37" spans="1:3" ht="20.100000000000001" customHeight="1">
      <c r="A37" s="174"/>
      <c r="B37" s="122"/>
      <c r="C37" s="176"/>
    </row>
    <row r="38" spans="1:3" ht="15.6" customHeight="1">
      <c r="A38" s="174"/>
      <c r="B38" s="122"/>
      <c r="C38" s="176"/>
    </row>
    <row r="39" spans="1:3" ht="23.25" customHeight="1" thickBot="1">
      <c r="A39" s="298" t="s">
        <v>197</v>
      </c>
      <c r="B39" s="177">
        <f>B7+B9+B11+B13+B15+B17-B20-B22-B24</f>
        <v>127203</v>
      </c>
      <c r="C39" s="178"/>
    </row>
  </sheetData>
  <mergeCells count="4">
    <mergeCell ref="A1:C1"/>
    <mergeCell ref="A2:C2"/>
    <mergeCell ref="A3:C3"/>
    <mergeCell ref="A4:C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7" orientation="portrait" useFirstPageNumber="1" r:id="rId1"/>
  <headerFooter scaleWithDoc="0" alignWithMargins="0">
    <oddFooter>&amp;C&amp;"Arial Unicode MS,標準"&amp;P</oddFooter>
  </headerFooter>
</worksheet>
</file>

<file path=xl/worksheets/sheet31.xml><?xml version="1.0" encoding="utf-8"?>
<worksheet xmlns="http://schemas.openxmlformats.org/spreadsheetml/2006/main" xmlns:r="http://schemas.openxmlformats.org/officeDocument/2006/relationships">
  <sheetPr codeName="Sheet33" enableFormatConditionsCalculation="0">
    <tabColor indexed="42"/>
  </sheetPr>
  <dimension ref="A1:C39"/>
  <sheetViews>
    <sheetView topLeftCell="A22" workbookViewId="0">
      <selection activeCell="A4" sqref="A4:C4"/>
    </sheetView>
  </sheetViews>
  <sheetFormatPr defaultColWidth="9" defaultRowHeight="16.2"/>
  <cols>
    <col min="1" max="1" width="36.6640625" style="1" customWidth="1"/>
    <col min="2" max="2" width="18.6640625" style="1" customWidth="1"/>
    <col min="3" max="3" width="37" style="1" customWidth="1"/>
    <col min="4" max="16384" width="9" style="1"/>
  </cols>
  <sheetData>
    <row r="1" spans="1:3" s="150" customFormat="1" ht="24.6">
      <c r="A1" s="957" t="s">
        <v>533</v>
      </c>
      <c r="B1" s="1214"/>
      <c r="C1" s="1214"/>
    </row>
    <row r="2" spans="1:3" s="169" customFormat="1" ht="22.2">
      <c r="A2" s="958" t="s">
        <v>534</v>
      </c>
      <c r="B2" s="1215"/>
      <c r="C2" s="1215"/>
    </row>
    <row r="3" spans="1:3" s="169" customFormat="1" ht="22.2">
      <c r="A3" s="959" t="s">
        <v>185</v>
      </c>
      <c r="B3" s="1216"/>
      <c r="C3" s="1216"/>
    </row>
    <row r="4" spans="1:3" s="170" customFormat="1" ht="19.8">
      <c r="A4" s="1025" t="s">
        <v>1042</v>
      </c>
      <c r="B4" s="960"/>
      <c r="C4" s="960"/>
    </row>
    <row r="5" spans="1:3" ht="17.25" customHeight="1" thickBot="1">
      <c r="A5" s="3"/>
      <c r="B5" s="121"/>
      <c r="C5" s="11" t="s">
        <v>535</v>
      </c>
    </row>
    <row r="6" spans="1:3" s="108" customFormat="1" ht="42" customHeight="1">
      <c r="A6" s="294" t="s">
        <v>536</v>
      </c>
      <c r="B6" s="295" t="s">
        <v>537</v>
      </c>
      <c r="C6" s="296" t="s">
        <v>187</v>
      </c>
    </row>
    <row r="7" spans="1:3" ht="20.100000000000001" customHeight="1">
      <c r="A7" s="297" t="s">
        <v>188</v>
      </c>
      <c r="B7" s="123">
        <v>127203</v>
      </c>
      <c r="C7" s="175"/>
    </row>
    <row r="8" spans="1:3" ht="20.100000000000001" customHeight="1">
      <c r="A8" s="297" t="s">
        <v>189</v>
      </c>
      <c r="B8" s="122"/>
      <c r="C8" s="176"/>
    </row>
    <row r="9" spans="1:3" ht="20.100000000000001" customHeight="1">
      <c r="A9" s="297" t="s">
        <v>190</v>
      </c>
      <c r="B9" s="146">
        <v>0</v>
      </c>
      <c r="C9" s="176"/>
    </row>
    <row r="10" spans="1:3" ht="20.100000000000001" customHeight="1">
      <c r="A10" s="297"/>
      <c r="B10" s="122"/>
      <c r="C10" s="176"/>
    </row>
    <row r="11" spans="1:3" ht="20.100000000000001" customHeight="1">
      <c r="A11" s="297" t="s">
        <v>191</v>
      </c>
      <c r="B11" s="146">
        <v>0</v>
      </c>
      <c r="C11" s="176"/>
    </row>
    <row r="12" spans="1:3" ht="20.100000000000001" customHeight="1">
      <c r="A12" s="297"/>
      <c r="B12" s="122"/>
      <c r="C12" s="176"/>
    </row>
    <row r="13" spans="1:3" ht="20.100000000000001" customHeight="1">
      <c r="A13" s="297" t="s">
        <v>192</v>
      </c>
      <c r="B13" s="146">
        <v>0</v>
      </c>
      <c r="C13" s="176"/>
    </row>
    <row r="14" spans="1:3" ht="20.100000000000001" customHeight="1">
      <c r="A14" s="297"/>
      <c r="B14" s="122"/>
      <c r="C14" s="176"/>
    </row>
    <row r="15" spans="1:3" ht="20.100000000000001" customHeight="1">
      <c r="A15" s="297" t="s">
        <v>538</v>
      </c>
      <c r="B15" s="146">
        <v>0</v>
      </c>
      <c r="C15" s="176"/>
    </row>
    <row r="16" spans="1:3" ht="20.100000000000001" customHeight="1">
      <c r="A16" s="297"/>
      <c r="B16" s="122"/>
      <c r="C16" s="176"/>
    </row>
    <row r="17" spans="1:3" ht="20.100000000000001" customHeight="1">
      <c r="A17" s="297" t="s">
        <v>193</v>
      </c>
      <c r="B17" s="146">
        <v>0</v>
      </c>
      <c r="C17" s="176"/>
    </row>
    <row r="18" spans="1:3" ht="20.100000000000001" customHeight="1">
      <c r="A18" s="297"/>
      <c r="B18" s="146"/>
      <c r="C18" s="176"/>
    </row>
    <row r="19" spans="1:3" ht="20.100000000000001" customHeight="1">
      <c r="A19" s="297" t="s">
        <v>194</v>
      </c>
      <c r="B19" s="122"/>
      <c r="C19" s="176"/>
    </row>
    <row r="20" spans="1:3" ht="20.100000000000001" customHeight="1">
      <c r="A20" s="297" t="s">
        <v>195</v>
      </c>
      <c r="B20" s="146">
        <v>0</v>
      </c>
      <c r="C20" s="176"/>
    </row>
    <row r="21" spans="1:3" ht="20.100000000000001" customHeight="1">
      <c r="A21" s="297"/>
      <c r="B21" s="122"/>
      <c r="C21" s="176"/>
    </row>
    <row r="22" spans="1:3" ht="20.100000000000001" customHeight="1">
      <c r="A22" s="297" t="s">
        <v>196</v>
      </c>
      <c r="B22" s="146">
        <v>0</v>
      </c>
      <c r="C22" s="176"/>
    </row>
    <row r="23" spans="1:3" ht="20.100000000000001" customHeight="1">
      <c r="A23" s="297"/>
      <c r="B23" s="122"/>
      <c r="C23" s="176"/>
    </row>
    <row r="24" spans="1:3" ht="20.100000000000001" customHeight="1">
      <c r="A24" s="297" t="s">
        <v>193</v>
      </c>
      <c r="B24" s="146">
        <v>0</v>
      </c>
      <c r="C24" s="176"/>
    </row>
    <row r="25" spans="1:3" ht="20.100000000000001" customHeight="1">
      <c r="A25" s="174"/>
      <c r="B25" s="122"/>
      <c r="C25" s="176"/>
    </row>
    <row r="26" spans="1:3" ht="20.100000000000001" customHeight="1">
      <c r="A26" s="174"/>
      <c r="B26" s="122"/>
      <c r="C26" s="176"/>
    </row>
    <row r="27" spans="1:3" ht="20.100000000000001" customHeight="1">
      <c r="A27" s="174"/>
      <c r="B27" s="122"/>
      <c r="C27" s="176"/>
    </row>
    <row r="28" spans="1:3" ht="20.100000000000001" customHeight="1">
      <c r="A28" s="174"/>
      <c r="B28" s="122"/>
      <c r="C28" s="176"/>
    </row>
    <row r="29" spans="1:3" ht="20.100000000000001" customHeight="1">
      <c r="A29" s="174"/>
      <c r="B29" s="122"/>
      <c r="C29" s="176"/>
    </row>
    <row r="30" spans="1:3" ht="20.100000000000001" customHeight="1">
      <c r="A30" s="174"/>
      <c r="B30" s="122"/>
      <c r="C30" s="176"/>
    </row>
    <row r="31" spans="1:3" ht="20.100000000000001" customHeight="1">
      <c r="A31" s="174"/>
      <c r="B31" s="122"/>
      <c r="C31" s="176"/>
    </row>
    <row r="32" spans="1:3" ht="20.100000000000001" customHeight="1">
      <c r="A32" s="174"/>
      <c r="B32" s="122"/>
      <c r="C32" s="176"/>
    </row>
    <row r="33" spans="1:3" ht="20.100000000000001" customHeight="1">
      <c r="A33" s="174"/>
      <c r="B33" s="122"/>
      <c r="C33" s="176"/>
    </row>
    <row r="34" spans="1:3" ht="20.100000000000001" customHeight="1">
      <c r="A34" s="174"/>
      <c r="B34" s="122"/>
      <c r="C34" s="176"/>
    </row>
    <row r="35" spans="1:3" ht="20.100000000000001" customHeight="1">
      <c r="A35" s="174"/>
      <c r="B35" s="122"/>
      <c r="C35" s="176"/>
    </row>
    <row r="36" spans="1:3" ht="20.100000000000001" customHeight="1">
      <c r="A36" s="174"/>
      <c r="B36" s="122"/>
      <c r="C36" s="176"/>
    </row>
    <row r="37" spans="1:3" ht="20.100000000000001" customHeight="1">
      <c r="A37" s="174"/>
      <c r="B37" s="122"/>
      <c r="C37" s="176"/>
    </row>
    <row r="38" spans="1:3" ht="13.2" customHeight="1">
      <c r="A38" s="174"/>
      <c r="B38" s="122"/>
      <c r="C38" s="176"/>
    </row>
    <row r="39" spans="1:3" ht="23.25" customHeight="1" thickBot="1">
      <c r="A39" s="298" t="s">
        <v>197</v>
      </c>
      <c r="B39" s="177">
        <f>B7+B9+B11+B13+B15+B17-B20-B22-B24</f>
        <v>127203</v>
      </c>
      <c r="C39" s="178"/>
    </row>
  </sheetData>
  <mergeCells count="4">
    <mergeCell ref="A1:C1"/>
    <mergeCell ref="A2:C2"/>
    <mergeCell ref="A3:C3"/>
    <mergeCell ref="A4:C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1" orientation="portrait" useFirstPageNumber="1" r:id="rId1"/>
  <headerFooter alignWithMargins="0">
    <oddFooter>&amp;C&amp;"Arial,標準"&amp;P</oddFooter>
  </headerFooter>
</worksheet>
</file>

<file path=xl/worksheets/sheet32.xml><?xml version="1.0" encoding="utf-8"?>
<worksheet xmlns="http://schemas.openxmlformats.org/spreadsheetml/2006/main" xmlns:r="http://schemas.openxmlformats.org/officeDocument/2006/relationships">
  <sheetPr codeName="Sheet34"/>
  <dimension ref="A16:I16"/>
  <sheetViews>
    <sheetView zoomScale="50" workbookViewId="0">
      <selection activeCell="K14" sqref="K14"/>
    </sheetView>
  </sheetViews>
  <sheetFormatPr defaultColWidth="9" defaultRowHeight="16.2"/>
  <cols>
    <col min="1" max="8" width="9" style="1"/>
    <col min="9" max="9" width="14.109375" style="1" customWidth="1"/>
    <col min="10" max="16384" width="9" style="1"/>
  </cols>
  <sheetData>
    <row r="16" spans="1:9" ht="49.8">
      <c r="A16" s="971" t="s">
        <v>735</v>
      </c>
      <c r="B16" s="971"/>
      <c r="C16" s="971"/>
      <c r="D16" s="971"/>
      <c r="E16" s="971"/>
      <c r="F16" s="971"/>
      <c r="G16" s="971"/>
      <c r="H16" s="971"/>
      <c r="I16" s="971"/>
    </row>
  </sheetData>
  <mergeCells count="1">
    <mergeCell ref="A16:I16"/>
  </mergeCells>
  <phoneticPr fontId="14" type="noConversion"/>
  <pageMargins left="0.74803149606299213" right="0.74803149606299213" top="0.98425196850393704" bottom="0.98425196850393704" header="0.51181102362204722" footer="0.51181102362204722"/>
  <pageSetup paperSize="9" firstPageNumber="38" orientation="portrait" useFirstPageNumber="1" r:id="rId1"/>
  <headerFooter alignWithMargins="0">
    <oddFooter>&amp;C&amp;"Arial,標準"&amp;P</oddFooter>
  </headerFooter>
</worksheet>
</file>

<file path=xl/worksheets/sheet33.xml><?xml version="1.0" encoding="utf-8"?>
<worksheet xmlns="http://schemas.openxmlformats.org/spreadsheetml/2006/main" xmlns:r="http://schemas.openxmlformats.org/officeDocument/2006/relationships">
  <sheetPr codeName="Sheet35" enableFormatConditionsCalculation="0">
    <tabColor indexed="42"/>
  </sheetPr>
  <dimension ref="A16:I16"/>
  <sheetViews>
    <sheetView zoomScale="50" workbookViewId="0">
      <selection activeCell="U51" sqref="U51"/>
    </sheetView>
  </sheetViews>
  <sheetFormatPr defaultColWidth="9" defaultRowHeight="16.2"/>
  <cols>
    <col min="1" max="8" width="9" style="1"/>
    <col min="9" max="9" width="14.109375" style="1" customWidth="1"/>
    <col min="10" max="16384" width="9" style="1"/>
  </cols>
  <sheetData>
    <row r="16" spans="1:9" ht="49.8">
      <c r="A16" s="971" t="s">
        <v>399</v>
      </c>
      <c r="B16" s="971"/>
      <c r="C16" s="971"/>
      <c r="D16" s="971"/>
      <c r="E16" s="971"/>
      <c r="F16" s="971"/>
      <c r="G16" s="971"/>
      <c r="H16" s="971"/>
      <c r="I16" s="971"/>
    </row>
  </sheetData>
  <mergeCells count="1">
    <mergeCell ref="A16:I16"/>
  </mergeCells>
  <phoneticPr fontId="14" type="noConversion"/>
  <pageMargins left="0.75" right="0.75" top="1" bottom="1" header="0.5" footer="0.5"/>
  <pageSetup paperSize="9" firstPageNumber="32" orientation="portrait" useFirstPageNumber="1" r:id="rId1"/>
  <headerFooter alignWithMargins="0">
    <oddFooter>&amp;C&amp;"Arial,標準"&amp;P</oddFooter>
  </headerFooter>
</worksheet>
</file>

<file path=xl/worksheets/sheet34.xml><?xml version="1.0" encoding="utf-8"?>
<worksheet xmlns="http://schemas.openxmlformats.org/spreadsheetml/2006/main" xmlns:r="http://schemas.openxmlformats.org/officeDocument/2006/relationships">
  <sheetPr codeName="Sheet36"/>
  <dimension ref="A16:I16"/>
  <sheetViews>
    <sheetView zoomScale="50" workbookViewId="0">
      <selection activeCell="V38" sqref="V38"/>
    </sheetView>
  </sheetViews>
  <sheetFormatPr defaultColWidth="9" defaultRowHeight="16.2"/>
  <cols>
    <col min="1" max="8" width="9" style="1"/>
    <col min="9" max="9" width="14.109375" style="1" customWidth="1"/>
    <col min="10" max="16384" width="9" style="1"/>
  </cols>
  <sheetData>
    <row r="16" spans="1:9" ht="49.8">
      <c r="A16" s="971" t="s">
        <v>415</v>
      </c>
      <c r="B16" s="971"/>
      <c r="C16" s="971"/>
      <c r="D16" s="971"/>
      <c r="E16" s="971"/>
      <c r="F16" s="971"/>
      <c r="G16" s="971"/>
      <c r="H16" s="971"/>
      <c r="I16" s="971"/>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Sheet37" enableFormatConditionsCalculation="0">
    <tabColor indexed="42"/>
  </sheetPr>
  <dimension ref="A16:I16"/>
  <sheetViews>
    <sheetView zoomScale="50" workbookViewId="0">
      <selection activeCell="M56" sqref="M56"/>
    </sheetView>
  </sheetViews>
  <sheetFormatPr defaultColWidth="9" defaultRowHeight="16.2"/>
  <cols>
    <col min="1" max="8" width="9" style="1"/>
    <col min="9" max="9" width="14.109375" style="1" customWidth="1"/>
    <col min="10" max="16384" width="9" style="1"/>
  </cols>
  <sheetData>
    <row r="16" spans="1:9" ht="49.8">
      <c r="A16" s="971" t="s">
        <v>567</v>
      </c>
      <c r="B16" s="971"/>
      <c r="C16" s="971"/>
      <c r="D16" s="971"/>
      <c r="E16" s="971"/>
      <c r="F16" s="971"/>
      <c r="G16" s="971"/>
      <c r="H16" s="971"/>
      <c r="I16" s="971"/>
    </row>
  </sheetData>
  <mergeCells count="1">
    <mergeCell ref="A16:I16"/>
  </mergeCells>
  <phoneticPr fontId="14" type="noConversion"/>
  <pageMargins left="0.75" right="0.75" top="1" bottom="1" header="0.5" footer="0.5"/>
  <pageSetup paperSize="9" firstPageNumber="33" orientation="portrait" useFirstPageNumber="1" r:id="rId1"/>
  <headerFooter alignWithMargins="0">
    <oddFooter>&amp;C&amp;"Arial Unicode MS,標準"&amp;P</oddFooter>
  </headerFooter>
</worksheet>
</file>

<file path=xl/worksheets/sheet36.xml><?xml version="1.0" encoding="utf-8"?>
<worksheet xmlns="http://schemas.openxmlformats.org/spreadsheetml/2006/main" xmlns:r="http://schemas.openxmlformats.org/officeDocument/2006/relationships">
  <sheetPr codeName="Sheet39" enableFormatConditionsCalculation="0"/>
  <dimension ref="A1:J37"/>
  <sheetViews>
    <sheetView view="pageBreakPreview" zoomScaleNormal="100" workbookViewId="0">
      <selection activeCell="A22" sqref="A22"/>
    </sheetView>
  </sheetViews>
  <sheetFormatPr defaultColWidth="9" defaultRowHeight="16.2"/>
  <cols>
    <col min="1" max="1" width="14.6640625" style="95" customWidth="1"/>
    <col min="2" max="2" width="29.21875" style="41" customWidth="1"/>
    <col min="3" max="3" width="16" style="95" customWidth="1"/>
    <col min="4" max="4" width="15.88671875" style="41" customWidth="1"/>
    <col min="5" max="5" width="15.77734375" style="95" customWidth="1"/>
    <col min="6" max="6" width="14.6640625" style="95" customWidth="1"/>
    <col min="7" max="7" width="29.21875" style="41" customWidth="1"/>
    <col min="8" max="8" width="16" style="95" customWidth="1"/>
    <col min="9" max="9" width="15.88671875" style="41" customWidth="1"/>
    <col min="10" max="10" width="15.77734375" style="95" customWidth="1"/>
    <col min="11" max="16384" width="9" style="41"/>
  </cols>
  <sheetData>
    <row r="1" spans="1:10" ht="24.6">
      <c r="A1" s="1223" t="s">
        <v>571</v>
      </c>
      <c r="B1" s="1223"/>
      <c r="C1" s="1223"/>
      <c r="D1" s="1223"/>
      <c r="E1" s="1223"/>
      <c r="F1" s="1219" t="s">
        <v>570</v>
      </c>
      <c r="G1" s="1219"/>
      <c r="H1" s="1219"/>
      <c r="I1" s="1219"/>
      <c r="J1" s="1219"/>
    </row>
    <row r="2" spans="1:10" ht="22.2">
      <c r="A2" s="1222" t="s">
        <v>573</v>
      </c>
      <c r="B2" s="1222"/>
      <c r="C2" s="1222"/>
      <c r="D2" s="1222"/>
      <c r="E2" s="1222"/>
      <c r="F2" s="1220" t="s">
        <v>572</v>
      </c>
      <c r="G2" s="1220"/>
      <c r="H2" s="1220"/>
      <c r="I2" s="1220"/>
      <c r="J2" s="1220"/>
    </row>
    <row r="3" spans="1:10" ht="22.2">
      <c r="A3" s="1224" t="s">
        <v>569</v>
      </c>
      <c r="B3" s="1224"/>
      <c r="C3" s="1224"/>
      <c r="D3" s="1224"/>
      <c r="E3" s="1224"/>
      <c r="F3" s="1221" t="s">
        <v>568</v>
      </c>
      <c r="G3" s="1221"/>
      <c r="H3" s="1221"/>
      <c r="I3" s="1221"/>
      <c r="J3" s="1221"/>
    </row>
    <row r="4" spans="1:10" s="271" customFormat="1" ht="19.8">
      <c r="A4" s="1218" t="s">
        <v>866</v>
      </c>
      <c r="B4" s="1218"/>
      <c r="C4" s="1218"/>
      <c r="D4" s="1218"/>
      <c r="E4" s="1218"/>
      <c r="F4" s="518" t="s">
        <v>574</v>
      </c>
      <c r="G4" s="518"/>
      <c r="H4" s="518"/>
      <c r="I4" s="518"/>
      <c r="J4" s="518"/>
    </row>
    <row r="5" spans="1:10" ht="16.8" thickBot="1">
      <c r="A5" s="1217" t="s">
        <v>678</v>
      </c>
      <c r="B5" s="1217"/>
      <c r="C5" s="1217"/>
      <c r="D5" s="1217"/>
      <c r="E5" s="1217"/>
      <c r="F5" s="1217"/>
      <c r="G5" s="1217"/>
      <c r="H5" s="1217"/>
      <c r="I5" s="1217"/>
      <c r="J5" s="1217"/>
    </row>
    <row r="6" spans="1:10" ht="42" customHeight="1">
      <c r="A6" s="514" t="s">
        <v>868</v>
      </c>
      <c r="B6" s="499" t="s">
        <v>390</v>
      </c>
      <c r="C6" s="515" t="s">
        <v>878</v>
      </c>
      <c r="D6" s="515" t="s">
        <v>879</v>
      </c>
      <c r="E6" s="516" t="s">
        <v>389</v>
      </c>
      <c r="F6" s="514" t="s">
        <v>880</v>
      </c>
      <c r="G6" s="499" t="s">
        <v>390</v>
      </c>
      <c r="H6" s="515" t="s">
        <v>878</v>
      </c>
      <c r="I6" s="515" t="s">
        <v>879</v>
      </c>
      <c r="J6" s="516" t="s">
        <v>389</v>
      </c>
    </row>
    <row r="7" spans="1:10" s="97" customFormat="1" ht="20.100000000000001" customHeight="1">
      <c r="A7" s="500">
        <f>A8+A17+A30+A34</f>
        <v>427531.6</v>
      </c>
      <c r="B7" s="457" t="s">
        <v>461</v>
      </c>
      <c r="C7" s="439">
        <f>C8+C17+C30+C34</f>
        <v>437430</v>
      </c>
      <c r="D7" s="439">
        <f>D8+D17+D30+D34</f>
        <v>427638</v>
      </c>
      <c r="E7" s="501">
        <f>E8+E17+E30+E34</f>
        <v>9792</v>
      </c>
      <c r="F7" s="507">
        <f>F8+F18</f>
        <v>248564</v>
      </c>
      <c r="G7" s="458" t="s">
        <v>462</v>
      </c>
      <c r="H7" s="366">
        <f>H8+H18</f>
        <v>247670</v>
      </c>
      <c r="I7" s="366">
        <f>I8+I18</f>
        <v>245580</v>
      </c>
      <c r="J7" s="440">
        <f>J8+J18</f>
        <v>2090</v>
      </c>
    </row>
    <row r="8" spans="1:10" s="97" customFormat="1" ht="20.100000000000001" customHeight="1">
      <c r="A8" s="381">
        <f>A9+A14+A11</f>
        <v>345538</v>
      </c>
      <c r="B8" s="244" t="s">
        <v>143</v>
      </c>
      <c r="C8" s="244">
        <f>C9+C14+C11</f>
        <v>371492</v>
      </c>
      <c r="D8" s="244">
        <f>D9+D14+D11</f>
        <v>350392</v>
      </c>
      <c r="E8" s="257">
        <f>E9+E14+E11</f>
        <v>21100</v>
      </c>
      <c r="F8" s="381">
        <f>F9+F15</f>
        <v>229099</v>
      </c>
      <c r="G8" s="244" t="s">
        <v>184</v>
      </c>
      <c r="H8" s="244">
        <f>H9+H15</f>
        <v>228170</v>
      </c>
      <c r="I8" s="244">
        <f>I9+I15</f>
        <v>225580</v>
      </c>
      <c r="J8" s="257">
        <f>J9+J15</f>
        <v>2590</v>
      </c>
    </row>
    <row r="9" spans="1:10" s="97" customFormat="1" ht="20.100000000000001" customHeight="1">
      <c r="A9" s="381">
        <f>A10</f>
        <v>334812</v>
      </c>
      <c r="B9" s="244" t="s">
        <v>178</v>
      </c>
      <c r="C9" s="244">
        <f>C10</f>
        <v>360128</v>
      </c>
      <c r="D9" s="244">
        <f>D10</f>
        <v>340092</v>
      </c>
      <c r="E9" s="257">
        <f>E10</f>
        <v>20036</v>
      </c>
      <c r="F9" s="381">
        <f>SUM(F10:F14)</f>
        <v>114099</v>
      </c>
      <c r="G9" s="244" t="s">
        <v>387</v>
      </c>
      <c r="H9" s="244">
        <f>SUM(H10:H14)</f>
        <v>118170</v>
      </c>
      <c r="I9" s="244">
        <f>SUM(I10:I14)</f>
        <v>115580</v>
      </c>
      <c r="J9" s="257">
        <f>SUM(J10:J14)</f>
        <v>2590</v>
      </c>
    </row>
    <row r="10" spans="1:10" ht="22.05" customHeight="1">
      <c r="A10" s="502">
        <v>334812</v>
      </c>
      <c r="B10" s="256" t="s">
        <v>172</v>
      </c>
      <c r="C10" s="256">
        <v>360128</v>
      </c>
      <c r="D10" s="256">
        <v>340092</v>
      </c>
      <c r="E10" s="257">
        <f>C10-D10</f>
        <v>20036</v>
      </c>
      <c r="F10" s="508">
        <v>129</v>
      </c>
      <c r="G10" s="205" t="s">
        <v>549</v>
      </c>
      <c r="H10" s="244">
        <v>170</v>
      </c>
      <c r="I10" s="244">
        <v>170</v>
      </c>
      <c r="J10" s="257">
        <f>H10-I10</f>
        <v>0</v>
      </c>
    </row>
    <row r="11" spans="1:10" s="97" customFormat="1" ht="20.100000000000001" customHeight="1">
      <c r="A11" s="381">
        <f>A12+A13</f>
        <v>1348</v>
      </c>
      <c r="B11" s="244" t="s">
        <v>539</v>
      </c>
      <c r="C11" s="244">
        <f>C12+C13</f>
        <v>1364</v>
      </c>
      <c r="D11" s="244">
        <f>D12+D13</f>
        <v>1800</v>
      </c>
      <c r="E11" s="257">
        <f>E12+E13</f>
        <v>-436</v>
      </c>
      <c r="F11" s="508">
        <v>11781</v>
      </c>
      <c r="G11" s="205" t="s">
        <v>550</v>
      </c>
      <c r="H11" s="244">
        <v>14000</v>
      </c>
      <c r="I11" s="244">
        <v>13410</v>
      </c>
      <c r="J11" s="257">
        <f>H11-I11</f>
        <v>590</v>
      </c>
    </row>
    <row r="12" spans="1:10" ht="22.05" customHeight="1">
      <c r="A12" s="502">
        <v>44</v>
      </c>
      <c r="B12" s="256" t="s">
        <v>540</v>
      </c>
      <c r="C12" s="244">
        <v>60</v>
      </c>
      <c r="D12" s="244">
        <v>50</v>
      </c>
      <c r="E12" s="257">
        <f>C12-D12</f>
        <v>10</v>
      </c>
      <c r="F12" s="508">
        <v>97462</v>
      </c>
      <c r="G12" s="205" t="s">
        <v>551</v>
      </c>
      <c r="H12" s="244">
        <v>101000</v>
      </c>
      <c r="I12" s="244">
        <v>100000</v>
      </c>
      <c r="J12" s="257">
        <f>H12-I12</f>
        <v>1000</v>
      </c>
    </row>
    <row r="13" spans="1:10" ht="22.05" customHeight="1">
      <c r="A13" s="502">
        <v>1304</v>
      </c>
      <c r="B13" s="256" t="s">
        <v>541</v>
      </c>
      <c r="C13" s="244">
        <v>1304</v>
      </c>
      <c r="D13" s="244">
        <v>1750</v>
      </c>
      <c r="E13" s="257">
        <f>C13-D13</f>
        <v>-446</v>
      </c>
      <c r="F13" s="508"/>
      <c r="G13" s="205" t="s">
        <v>552</v>
      </c>
      <c r="H13" s="244">
        <v>0</v>
      </c>
      <c r="I13" s="244">
        <v>0</v>
      </c>
      <c r="J13" s="257">
        <f>H13-I13</f>
        <v>0</v>
      </c>
    </row>
    <row r="14" spans="1:10" s="97" customFormat="1" ht="20.100000000000001" customHeight="1">
      <c r="A14" s="381">
        <f>A15</f>
        <v>9378</v>
      </c>
      <c r="B14" s="244" t="s">
        <v>179</v>
      </c>
      <c r="C14" s="244">
        <f>C15</f>
        <v>10000</v>
      </c>
      <c r="D14" s="244">
        <f>D15</f>
        <v>8500</v>
      </c>
      <c r="E14" s="257">
        <f>E15</f>
        <v>1500</v>
      </c>
      <c r="F14" s="508">
        <v>4727</v>
      </c>
      <c r="G14" s="205" t="s">
        <v>553</v>
      </c>
      <c r="H14" s="244">
        <v>3000</v>
      </c>
      <c r="I14" s="244">
        <v>2000</v>
      </c>
      <c r="J14" s="257">
        <f>H14-I14</f>
        <v>1000</v>
      </c>
    </row>
    <row r="15" spans="1:10" ht="22.05" customHeight="1">
      <c r="A15" s="502">
        <v>9378</v>
      </c>
      <c r="B15" s="256" t="s">
        <v>180</v>
      </c>
      <c r="C15" s="256">
        <v>10000</v>
      </c>
      <c r="D15" s="256">
        <v>8500</v>
      </c>
      <c r="E15" s="257">
        <f>C15-D15</f>
        <v>1500</v>
      </c>
      <c r="F15" s="381">
        <f>SUM(F16:F16)</f>
        <v>115000</v>
      </c>
      <c r="G15" s="244" t="s">
        <v>388</v>
      </c>
      <c r="H15" s="244">
        <f>SUM(H16:H16)</f>
        <v>110000</v>
      </c>
      <c r="I15" s="244">
        <f>SUM(I16:I16)</f>
        <v>110000</v>
      </c>
      <c r="J15" s="257">
        <f>SUM(J16:J16)</f>
        <v>0</v>
      </c>
    </row>
    <row r="16" spans="1:10" ht="23.1" customHeight="1">
      <c r="A16" s="502"/>
      <c r="B16" s="256"/>
      <c r="C16" s="256"/>
      <c r="D16" s="256"/>
      <c r="E16" s="257"/>
      <c r="F16" s="508">
        <v>115000</v>
      </c>
      <c r="G16" s="205" t="s">
        <v>554</v>
      </c>
      <c r="H16" s="205">
        <v>110000</v>
      </c>
      <c r="I16" s="205">
        <v>110000</v>
      </c>
      <c r="J16" s="257">
        <f>H16-I16</f>
        <v>0</v>
      </c>
    </row>
    <row r="17" spans="1:10" s="97" customFormat="1" ht="20.100000000000001" customHeight="1">
      <c r="A17" s="381">
        <f>A18+A21+A25+A28</f>
        <v>44219.3</v>
      </c>
      <c r="B17" s="244" t="s">
        <v>142</v>
      </c>
      <c r="C17" s="244">
        <f>C18+C21+C25+C28</f>
        <v>42324</v>
      </c>
      <c r="D17" s="244">
        <f>D18+D21+D25+D28</f>
        <v>42669</v>
      </c>
      <c r="E17" s="257">
        <f>E18+E21+E25+E28</f>
        <v>-345</v>
      </c>
      <c r="F17" s="508"/>
      <c r="G17" s="205"/>
      <c r="H17" s="205"/>
      <c r="I17" s="205"/>
      <c r="J17" s="257"/>
    </row>
    <row r="18" spans="1:10" s="97" customFormat="1" ht="20.100000000000001" customHeight="1">
      <c r="A18" s="381">
        <f>A19-A20</f>
        <v>39251</v>
      </c>
      <c r="B18" s="462" t="s">
        <v>542</v>
      </c>
      <c r="C18" s="244">
        <f>C19-C20</f>
        <v>40084</v>
      </c>
      <c r="D18" s="244">
        <f>D19-D20</f>
        <v>39949</v>
      </c>
      <c r="E18" s="257">
        <f>E19-E20</f>
        <v>135</v>
      </c>
      <c r="F18" s="381">
        <f>F19</f>
        <v>19465</v>
      </c>
      <c r="G18" s="244" t="s">
        <v>555</v>
      </c>
      <c r="H18" s="244">
        <f>H19</f>
        <v>19500</v>
      </c>
      <c r="I18" s="244">
        <f>I19</f>
        <v>20000</v>
      </c>
      <c r="J18" s="257">
        <f>J19</f>
        <v>-500</v>
      </c>
    </row>
    <row r="19" spans="1:10" s="470" customFormat="1" ht="20.100000000000001" customHeight="1">
      <c r="A19" s="503">
        <v>151370</v>
      </c>
      <c r="B19" s="471" t="s">
        <v>542</v>
      </c>
      <c r="C19" s="469">
        <v>186783</v>
      </c>
      <c r="D19" s="469">
        <v>170268</v>
      </c>
      <c r="E19" s="257">
        <f>C19-D19</f>
        <v>16515</v>
      </c>
      <c r="F19" s="381">
        <f>F20+F21</f>
        <v>19465</v>
      </c>
      <c r="G19" s="244" t="s">
        <v>556</v>
      </c>
      <c r="H19" s="244">
        <f>H20+H21</f>
        <v>19500</v>
      </c>
      <c r="I19" s="244">
        <f>I20+I21</f>
        <v>20000</v>
      </c>
      <c r="J19" s="257">
        <f>J20+J21</f>
        <v>-500</v>
      </c>
    </row>
    <row r="20" spans="1:10" s="465" customFormat="1" ht="34.5" customHeight="1">
      <c r="A20" s="504">
        <v>112119</v>
      </c>
      <c r="B20" s="464" t="s">
        <v>543</v>
      </c>
      <c r="C20" s="566">
        <v>146699</v>
      </c>
      <c r="D20" s="566">
        <v>130319</v>
      </c>
      <c r="E20" s="257">
        <f>C20-D20</f>
        <v>16380</v>
      </c>
      <c r="F20" s="508">
        <v>11819</v>
      </c>
      <c r="G20" s="205" t="s">
        <v>557</v>
      </c>
      <c r="H20" s="244">
        <v>11000</v>
      </c>
      <c r="I20" s="244">
        <v>12000</v>
      </c>
      <c r="J20" s="257">
        <f>H20-I20</f>
        <v>-1000</v>
      </c>
    </row>
    <row r="21" spans="1:10" s="97" customFormat="1" ht="20.100000000000001" customHeight="1">
      <c r="A21" s="381">
        <f>A22-A23</f>
        <v>3065</v>
      </c>
      <c r="B21" s="462" t="s">
        <v>268</v>
      </c>
      <c r="C21" s="244">
        <f>C22-C23</f>
        <v>1045</v>
      </c>
      <c r="D21" s="244">
        <f>D22-D23</f>
        <v>2065</v>
      </c>
      <c r="E21" s="257">
        <f>E22-E23</f>
        <v>-1020</v>
      </c>
      <c r="F21" s="508">
        <v>7646</v>
      </c>
      <c r="G21" s="205" t="s">
        <v>558</v>
      </c>
      <c r="H21" s="244">
        <v>8500</v>
      </c>
      <c r="I21" s="244">
        <v>8000</v>
      </c>
      <c r="J21" s="257">
        <f>H21-I21</f>
        <v>500</v>
      </c>
    </row>
    <row r="22" spans="1:10" s="470" customFormat="1" ht="20.100000000000001" customHeight="1">
      <c r="A22" s="505">
        <v>12715</v>
      </c>
      <c r="B22" s="467" t="s">
        <v>268</v>
      </c>
      <c r="C22" s="468">
        <v>12715</v>
      </c>
      <c r="D22" s="468">
        <v>12715</v>
      </c>
      <c r="E22" s="257">
        <f>C22-D22</f>
        <v>0</v>
      </c>
      <c r="F22" s="508"/>
      <c r="G22" s="205"/>
      <c r="H22" s="244"/>
      <c r="I22" s="244"/>
      <c r="J22" s="257"/>
    </row>
    <row r="23" spans="1:10" s="465" customFormat="1" ht="36" customHeight="1">
      <c r="A23" s="506">
        <v>9650</v>
      </c>
      <c r="B23" s="464" t="s">
        <v>704</v>
      </c>
      <c r="C23" s="466">
        <v>11670</v>
      </c>
      <c r="D23" s="466">
        <v>10650</v>
      </c>
      <c r="E23" s="257">
        <f>C23-D23</f>
        <v>1020</v>
      </c>
      <c r="F23" s="508"/>
      <c r="G23" s="205"/>
      <c r="H23" s="244"/>
      <c r="I23" s="244"/>
      <c r="J23" s="257"/>
    </row>
    <row r="24" spans="1:10" s="465" customFormat="1" ht="23.1" hidden="1" customHeight="1">
      <c r="A24" s="506"/>
      <c r="B24" s="464"/>
      <c r="C24" s="466"/>
      <c r="D24" s="466"/>
      <c r="E24" s="257"/>
      <c r="F24" s="508"/>
      <c r="G24" s="205"/>
      <c r="H24" s="244"/>
      <c r="I24" s="244"/>
      <c r="J24" s="257"/>
    </row>
    <row r="25" spans="1:10" s="97" customFormat="1" ht="20.100000000000001" customHeight="1">
      <c r="A25" s="381">
        <f>A26-A27</f>
        <v>1903.2999999999993</v>
      </c>
      <c r="B25" s="462" t="s">
        <v>544</v>
      </c>
      <c r="C25" s="244">
        <f>C26-C27</f>
        <v>1195</v>
      </c>
      <c r="D25" s="244">
        <f>D26-D27</f>
        <v>655</v>
      </c>
      <c r="E25" s="257">
        <f>E26-E27</f>
        <v>540</v>
      </c>
      <c r="F25" s="507">
        <f>F26+F30+F34</f>
        <v>178968</v>
      </c>
      <c r="G25" s="458" t="s">
        <v>471</v>
      </c>
      <c r="H25" s="366">
        <f>H26+H30+H34</f>
        <v>189760</v>
      </c>
      <c r="I25" s="366">
        <f>I26+I30+I34</f>
        <v>182058</v>
      </c>
      <c r="J25" s="366">
        <f>J26+J30+J34</f>
        <v>7702</v>
      </c>
    </row>
    <row r="26" spans="1:10" ht="20.100000000000001" customHeight="1">
      <c r="A26" s="502">
        <v>25650</v>
      </c>
      <c r="B26" s="463" t="s">
        <v>544</v>
      </c>
      <c r="C26" s="256">
        <v>28642</v>
      </c>
      <c r="D26" s="256">
        <v>25902</v>
      </c>
      <c r="E26" s="257">
        <f>C26-D26</f>
        <v>2740</v>
      </c>
      <c r="F26" s="381">
        <f>F27</f>
        <v>127203</v>
      </c>
      <c r="G26" s="244" t="s">
        <v>707</v>
      </c>
      <c r="H26" s="244">
        <f t="shared" ref="H26:J27" si="0">H27</f>
        <v>127203</v>
      </c>
      <c r="I26" s="244">
        <f t="shared" si="0"/>
        <v>127203</v>
      </c>
      <c r="J26" s="257">
        <f t="shared" si="0"/>
        <v>0</v>
      </c>
    </row>
    <row r="27" spans="1:10" ht="20.100000000000001" customHeight="1">
      <c r="A27" s="502">
        <v>23746.7</v>
      </c>
      <c r="B27" s="256" t="s">
        <v>545</v>
      </c>
      <c r="C27" s="256">
        <v>27447</v>
      </c>
      <c r="D27" s="256">
        <v>25247</v>
      </c>
      <c r="E27" s="257">
        <f>C27-D27</f>
        <v>2200</v>
      </c>
      <c r="F27" s="381">
        <f>F28</f>
        <v>127203</v>
      </c>
      <c r="G27" s="244" t="s">
        <v>145</v>
      </c>
      <c r="H27" s="244">
        <f t="shared" si="0"/>
        <v>127203</v>
      </c>
      <c r="I27" s="244">
        <f t="shared" si="0"/>
        <v>127203</v>
      </c>
      <c r="J27" s="257">
        <f t="shared" si="0"/>
        <v>0</v>
      </c>
    </row>
    <row r="28" spans="1:10" s="97" customFormat="1" ht="20.100000000000001" customHeight="1">
      <c r="A28" s="381"/>
      <c r="B28" s="244"/>
      <c r="C28" s="244"/>
      <c r="D28" s="244"/>
      <c r="E28" s="257"/>
      <c r="F28" s="508">
        <v>127203</v>
      </c>
      <c r="G28" s="205" t="s">
        <v>146</v>
      </c>
      <c r="H28" s="205">
        <v>127203</v>
      </c>
      <c r="I28" s="205">
        <v>127203</v>
      </c>
      <c r="J28" s="257">
        <f>H28-I28</f>
        <v>0</v>
      </c>
    </row>
    <row r="29" spans="1:10" ht="20.100000000000001" customHeight="1">
      <c r="A29" s="381"/>
      <c r="B29" s="472"/>
      <c r="C29" s="244"/>
      <c r="D29" s="244"/>
      <c r="E29" s="257"/>
      <c r="F29" s="508"/>
      <c r="G29" s="205"/>
      <c r="H29" s="205"/>
      <c r="I29" s="205"/>
      <c r="J29" s="257"/>
    </row>
    <row r="30" spans="1:10" ht="23.1" customHeight="1">
      <c r="A30" s="381">
        <f>A31</f>
        <v>37774.300000000003</v>
      </c>
      <c r="B30" s="244" t="s">
        <v>181</v>
      </c>
      <c r="C30" s="244">
        <f t="shared" ref="C30:E31" si="1">C31</f>
        <v>23613</v>
      </c>
      <c r="D30" s="244">
        <f t="shared" si="1"/>
        <v>34576</v>
      </c>
      <c r="E30" s="257">
        <f t="shared" si="1"/>
        <v>-10963</v>
      </c>
      <c r="F30" s="381">
        <f>F31</f>
        <v>160</v>
      </c>
      <c r="G30" s="529" t="s">
        <v>869</v>
      </c>
      <c r="H30" s="244">
        <f>H31</f>
        <v>160</v>
      </c>
      <c r="I30" s="244">
        <f>I31</f>
        <v>160</v>
      </c>
      <c r="J30" s="257">
        <f>J31</f>
        <v>0</v>
      </c>
    </row>
    <row r="31" spans="1:10" s="97" customFormat="1" ht="20.100000000000001" customHeight="1">
      <c r="A31" s="381">
        <f>A32</f>
        <v>37774.300000000003</v>
      </c>
      <c r="B31" s="244" t="s">
        <v>182</v>
      </c>
      <c r="C31" s="244">
        <f t="shared" si="1"/>
        <v>23613</v>
      </c>
      <c r="D31" s="244">
        <f t="shared" si="1"/>
        <v>34576</v>
      </c>
      <c r="E31" s="257">
        <f t="shared" si="1"/>
        <v>-10963</v>
      </c>
      <c r="F31" s="381">
        <f>SUM(F32)</f>
        <v>160</v>
      </c>
      <c r="G31" s="529" t="s">
        <v>870</v>
      </c>
      <c r="H31" s="244">
        <f>SUM(H32)</f>
        <v>160</v>
      </c>
      <c r="I31" s="244">
        <f>SUM(I32)</f>
        <v>160</v>
      </c>
      <c r="J31" s="257">
        <f>SUM(J32)</f>
        <v>0</v>
      </c>
    </row>
    <row r="32" spans="1:10" s="97" customFormat="1" ht="19.5" customHeight="1">
      <c r="A32" s="502">
        <v>37774.300000000003</v>
      </c>
      <c r="B32" s="256" t="s">
        <v>183</v>
      </c>
      <c r="C32" s="256">
        <v>23613</v>
      </c>
      <c r="D32" s="256">
        <v>34576</v>
      </c>
      <c r="E32" s="257">
        <f>C32-D32</f>
        <v>-10963</v>
      </c>
      <c r="F32" s="509">
        <v>160</v>
      </c>
      <c r="G32" s="539" t="s">
        <v>871</v>
      </c>
      <c r="H32" s="708">
        <v>160</v>
      </c>
      <c r="I32" s="708">
        <v>160</v>
      </c>
      <c r="J32" s="257">
        <f>H32-I32</f>
        <v>0</v>
      </c>
    </row>
    <row r="33" spans="1:10" ht="22.05" customHeight="1">
      <c r="A33" s="502"/>
      <c r="B33" s="256"/>
      <c r="C33" s="256"/>
      <c r="D33" s="256"/>
      <c r="E33" s="257"/>
      <c r="F33" s="509"/>
      <c r="G33" s="258"/>
      <c r="H33" s="258"/>
      <c r="I33" s="258"/>
      <c r="J33" s="257"/>
    </row>
    <row r="34" spans="1:10" ht="23.1" customHeight="1">
      <c r="A34" s="381">
        <f>A35</f>
        <v>0</v>
      </c>
      <c r="B34" s="244" t="s">
        <v>546</v>
      </c>
      <c r="C34" s="244">
        <f t="shared" ref="C34:E35" si="2">C35</f>
        <v>1</v>
      </c>
      <c r="D34" s="244">
        <f t="shared" si="2"/>
        <v>1</v>
      </c>
      <c r="E34" s="257">
        <f t="shared" si="2"/>
        <v>0</v>
      </c>
      <c r="F34" s="381">
        <f>F35</f>
        <v>51605</v>
      </c>
      <c r="G34" s="258" t="s">
        <v>887</v>
      </c>
      <c r="H34" s="258">
        <f>H35</f>
        <v>62397</v>
      </c>
      <c r="I34" s="258">
        <f>I35</f>
        <v>54695</v>
      </c>
      <c r="J34" s="257">
        <f t="shared" ref="J34:J36" si="3">H34-I34</f>
        <v>7702</v>
      </c>
    </row>
    <row r="35" spans="1:10" s="97" customFormat="1" ht="20.100000000000001" customHeight="1">
      <c r="A35" s="381">
        <f>A36</f>
        <v>0</v>
      </c>
      <c r="B35" s="244" t="s">
        <v>547</v>
      </c>
      <c r="C35" s="244">
        <f t="shared" si="2"/>
        <v>1</v>
      </c>
      <c r="D35" s="244">
        <f t="shared" si="2"/>
        <v>1</v>
      </c>
      <c r="E35" s="257">
        <f t="shared" si="2"/>
        <v>0</v>
      </c>
      <c r="F35" s="381">
        <f>SUM(F36)</f>
        <v>51605</v>
      </c>
      <c r="G35" s="258" t="s">
        <v>147</v>
      </c>
      <c r="H35" s="258">
        <f>H36</f>
        <v>62397</v>
      </c>
      <c r="I35" s="258">
        <f>I36</f>
        <v>54695</v>
      </c>
      <c r="J35" s="257">
        <f t="shared" si="3"/>
        <v>7702</v>
      </c>
    </row>
    <row r="36" spans="1:10" s="97" customFormat="1" ht="19.5" customHeight="1">
      <c r="A36" s="502"/>
      <c r="B36" s="256" t="s">
        <v>548</v>
      </c>
      <c r="C36" s="244">
        <v>1</v>
      </c>
      <c r="D36" s="244">
        <v>1</v>
      </c>
      <c r="E36" s="257">
        <f>C36-D36</f>
        <v>0</v>
      </c>
      <c r="F36" s="509">
        <v>51605</v>
      </c>
      <c r="G36" s="258" t="s">
        <v>148</v>
      </c>
      <c r="H36" s="258">
        <v>62397</v>
      </c>
      <c r="I36" s="258">
        <v>54695</v>
      </c>
      <c r="J36" s="257">
        <f t="shared" si="3"/>
        <v>7702</v>
      </c>
    </row>
    <row r="37" spans="1:10" ht="45" customHeight="1" thickBot="1">
      <c r="A37" s="510">
        <f>A7</f>
        <v>427531.6</v>
      </c>
      <c r="B37" s="461" t="s">
        <v>472</v>
      </c>
      <c r="C37" s="459">
        <f>C7</f>
        <v>437430</v>
      </c>
      <c r="D37" s="459">
        <f>D7</f>
        <v>427638</v>
      </c>
      <c r="E37" s="511">
        <f>E7</f>
        <v>9792</v>
      </c>
      <c r="F37" s="510">
        <f>F7+F25</f>
        <v>427532</v>
      </c>
      <c r="G37" s="461" t="s">
        <v>559</v>
      </c>
      <c r="H37" s="459">
        <f>H7+H25</f>
        <v>437430</v>
      </c>
      <c r="I37" s="459">
        <f>I7+I25</f>
        <v>427638</v>
      </c>
      <c r="J37" s="511">
        <f>J7+J25</f>
        <v>9792</v>
      </c>
    </row>
  </sheetData>
  <mergeCells count="8">
    <mergeCell ref="A5:J5"/>
    <mergeCell ref="A4:E4"/>
    <mergeCell ref="F1:J1"/>
    <mergeCell ref="F2:J2"/>
    <mergeCell ref="F3:J3"/>
    <mergeCell ref="A2:E2"/>
    <mergeCell ref="A1:E1"/>
    <mergeCell ref="A3:E3"/>
  </mergeCells>
  <phoneticPr fontId="2" type="noConversion"/>
  <printOptions horizontalCentered="1"/>
  <pageMargins left="0.6692913385826772" right="0.6692913385826772" top="0.59055118110236227" bottom="0.78740157480314965" header="0.51181102362204722" footer="0.51181102362204722"/>
  <pageSetup paperSize="9" scale="95" firstPageNumber="34" orientation="portrait" useFirstPageNumber="1" r:id="rId1"/>
  <headerFooter alignWithMargins="0">
    <oddFooter>&amp;C&amp;"Arial Unicode MS,標準"&amp;P</oddFooter>
  </headerFooter>
</worksheet>
</file>

<file path=xl/worksheets/sheet37.xml><?xml version="1.0" encoding="utf-8"?>
<worksheet xmlns="http://schemas.openxmlformats.org/spreadsheetml/2006/main" xmlns:r="http://schemas.openxmlformats.org/officeDocument/2006/relationships">
  <sheetPr codeName="Sheet38">
    <tabColor rgb="FFFFFFCC"/>
  </sheetPr>
  <dimension ref="A1:E72"/>
  <sheetViews>
    <sheetView topLeftCell="A26" zoomScaleNormal="100" zoomScaleSheetLayoutView="100" workbookViewId="0">
      <selection activeCell="B47" sqref="B47"/>
    </sheetView>
  </sheetViews>
  <sheetFormatPr defaultColWidth="9" defaultRowHeight="16.2"/>
  <cols>
    <col min="1" max="1" width="14.6640625" style="95" customWidth="1"/>
    <col min="2" max="2" width="29.21875" style="41" customWidth="1"/>
    <col min="3" max="3" width="16" style="95" customWidth="1"/>
    <col min="4" max="4" width="15.88671875" style="41" customWidth="1"/>
    <col min="5" max="5" width="15.77734375" style="95" customWidth="1"/>
    <col min="6" max="16384" width="9" style="41"/>
  </cols>
  <sheetData>
    <row r="1" spans="1:5" ht="24.6">
      <c r="A1" s="1022" t="s">
        <v>658</v>
      </c>
      <c r="B1" s="1022"/>
      <c r="C1" s="1022"/>
      <c r="D1" s="1022"/>
      <c r="E1" s="1022"/>
    </row>
    <row r="2" spans="1:5" ht="22.2">
      <c r="A2" s="1023" t="s">
        <v>657</v>
      </c>
      <c r="B2" s="1023"/>
      <c r="C2" s="1023"/>
      <c r="D2" s="1023"/>
      <c r="E2" s="1023"/>
    </row>
    <row r="3" spans="1:5" ht="22.2">
      <c r="A3" s="1024" t="s">
        <v>656</v>
      </c>
      <c r="B3" s="1024"/>
      <c r="C3" s="1024"/>
      <c r="D3" s="1024"/>
      <c r="E3" s="1024"/>
    </row>
    <row r="4" spans="1:5" s="271" customFormat="1" ht="19.8">
      <c r="A4" s="1025" t="s">
        <v>1050</v>
      </c>
      <c r="B4" s="1025"/>
      <c r="C4" s="1025"/>
      <c r="D4" s="1025"/>
      <c r="E4" s="1025"/>
    </row>
    <row r="5" spans="1:5" ht="16.8" thickBot="1">
      <c r="A5" s="1217" t="s">
        <v>672</v>
      </c>
      <c r="B5" s="1217"/>
      <c r="C5" s="1217"/>
      <c r="D5" s="1217"/>
      <c r="E5" s="1217"/>
    </row>
    <row r="6" spans="1:5" ht="35.25" customHeight="1">
      <c r="A6" s="514" t="s">
        <v>1051</v>
      </c>
      <c r="B6" s="499" t="s">
        <v>575</v>
      </c>
      <c r="C6" s="515" t="s">
        <v>1053</v>
      </c>
      <c r="D6" s="515" t="s">
        <v>1052</v>
      </c>
      <c r="E6" s="516" t="s">
        <v>576</v>
      </c>
    </row>
    <row r="7" spans="1:5" s="97" customFormat="1" ht="19.05" customHeight="1">
      <c r="A7" s="927">
        <f>A8+A17+A30+A34</f>
        <v>494476</v>
      </c>
      <c r="B7" s="525" t="s">
        <v>577</v>
      </c>
      <c r="C7" s="526">
        <f>C8+C17+C30+C34</f>
        <v>506582</v>
      </c>
      <c r="D7" s="526">
        <f>D8+D17+D30+D34</f>
        <v>506874</v>
      </c>
      <c r="E7" s="527">
        <f>E8+E17+E30+E34</f>
        <v>-292</v>
      </c>
    </row>
    <row r="8" spans="1:5" s="97" customFormat="1" ht="19.05" customHeight="1">
      <c r="A8" s="528">
        <f>A9+A14+A11</f>
        <v>414847</v>
      </c>
      <c r="B8" s="529" t="s">
        <v>143</v>
      </c>
      <c r="C8" s="529">
        <f>C9+C14+C11</f>
        <v>449260</v>
      </c>
      <c r="D8" s="529">
        <f>D9+D14+D11</f>
        <v>439095</v>
      </c>
      <c r="E8" s="530">
        <f>E9+E14+E11</f>
        <v>10165</v>
      </c>
    </row>
    <row r="9" spans="1:5" s="97" customFormat="1" ht="19.05" customHeight="1">
      <c r="A9" s="528">
        <f>A10</f>
        <v>409041</v>
      </c>
      <c r="B9" s="529" t="s">
        <v>579</v>
      </c>
      <c r="C9" s="842">
        <f>C10</f>
        <v>440995</v>
      </c>
      <c r="D9" s="842">
        <f>D10</f>
        <v>432225</v>
      </c>
      <c r="E9" s="530">
        <f>E10</f>
        <v>8770</v>
      </c>
    </row>
    <row r="10" spans="1:5" ht="19.05" hidden="1" customHeight="1">
      <c r="A10" s="503">
        <v>409041</v>
      </c>
      <c r="B10" s="469" t="s">
        <v>581</v>
      </c>
      <c r="C10" s="813">
        <f>437207-94+2400+676+806</f>
        <v>440995</v>
      </c>
      <c r="D10" s="469">
        <f>A10+22472-94+806</f>
        <v>432225</v>
      </c>
      <c r="E10" s="530">
        <f>C10-D10</f>
        <v>8770</v>
      </c>
    </row>
    <row r="11" spans="1:5" s="97" customFormat="1" ht="19.05" customHeight="1">
      <c r="A11" s="528">
        <f>SUM(A12:A13)</f>
        <v>868</v>
      </c>
      <c r="B11" s="529" t="s">
        <v>583</v>
      </c>
      <c r="C11" s="529">
        <f>C12+C13</f>
        <v>1107</v>
      </c>
      <c r="D11" s="529">
        <f>D12+D13</f>
        <v>432</v>
      </c>
      <c r="E11" s="530">
        <f>E12+E13</f>
        <v>675</v>
      </c>
    </row>
    <row r="12" spans="1:5" ht="19.05" hidden="1" customHeight="1">
      <c r="A12" s="503">
        <v>21</v>
      </c>
      <c r="B12" s="469" t="s">
        <v>585</v>
      </c>
      <c r="C12" s="529">
        <v>32</v>
      </c>
      <c r="D12" s="529">
        <f>A12+10</f>
        <v>31</v>
      </c>
      <c r="E12" s="530">
        <f>C12-D12</f>
        <v>1</v>
      </c>
    </row>
    <row r="13" spans="1:5" ht="19.05" hidden="1" customHeight="1">
      <c r="A13" s="503">
        <v>847</v>
      </c>
      <c r="B13" s="469" t="s">
        <v>587</v>
      </c>
      <c r="C13" s="529">
        <v>1075</v>
      </c>
      <c r="D13" s="529">
        <f>A13-446</f>
        <v>401</v>
      </c>
      <c r="E13" s="530">
        <f>C13-D13</f>
        <v>674</v>
      </c>
    </row>
    <row r="14" spans="1:5" s="97" customFormat="1" ht="19.05" customHeight="1">
      <c r="A14" s="528">
        <f>A15</f>
        <v>4938</v>
      </c>
      <c r="B14" s="529" t="s">
        <v>589</v>
      </c>
      <c r="C14" s="529">
        <f>C15</f>
        <v>7158</v>
      </c>
      <c r="D14" s="529">
        <f>D15</f>
        <v>6438</v>
      </c>
      <c r="E14" s="530">
        <f>E15</f>
        <v>720</v>
      </c>
    </row>
    <row r="15" spans="1:5" ht="19.05" hidden="1" customHeight="1">
      <c r="A15" s="503">
        <v>4938</v>
      </c>
      <c r="B15" s="469" t="s">
        <v>591</v>
      </c>
      <c r="C15" s="469">
        <v>7158</v>
      </c>
      <c r="D15" s="469">
        <f>A15+1500</f>
        <v>6438</v>
      </c>
      <c r="E15" s="530">
        <f>C15-D15</f>
        <v>720</v>
      </c>
    </row>
    <row r="16" spans="1:5" ht="19.05" hidden="1" customHeight="1">
      <c r="A16" s="503"/>
      <c r="B16" s="469"/>
      <c r="C16" s="469"/>
      <c r="D16" s="469"/>
      <c r="E16" s="530"/>
    </row>
    <row r="17" spans="1:5" s="97" customFormat="1" ht="19.05" customHeight="1">
      <c r="A17" s="528">
        <f>A18+A21+A24+A27-1</f>
        <v>47795</v>
      </c>
      <c r="B17" s="529" t="s">
        <v>594</v>
      </c>
      <c r="C17" s="529">
        <f>C18+C21+C24+C27</f>
        <v>44682</v>
      </c>
      <c r="D17" s="529">
        <f>D18+D21+D24+D27</f>
        <v>47508</v>
      </c>
      <c r="E17" s="530">
        <f>E18+E21+E24+E27</f>
        <v>-2826</v>
      </c>
    </row>
    <row r="18" spans="1:5" s="97" customFormat="1" ht="19.05" customHeight="1">
      <c r="A18" s="528">
        <f>A19-A20+1</f>
        <v>42363</v>
      </c>
      <c r="B18" s="531" t="s">
        <v>659</v>
      </c>
      <c r="C18" s="529">
        <f>C19-C20</f>
        <v>41565</v>
      </c>
      <c r="D18" s="529">
        <f>D19-D20</f>
        <v>42461</v>
      </c>
      <c r="E18" s="530">
        <f>E19-E20</f>
        <v>-896</v>
      </c>
    </row>
    <row r="19" spans="1:5" s="567" customFormat="1" ht="19.05" customHeight="1">
      <c r="A19" s="503">
        <v>147999</v>
      </c>
      <c r="B19" s="532" t="s">
        <v>660</v>
      </c>
      <c r="C19" s="469">
        <f>'36.資產折舊明細表'!D11</f>
        <v>181223</v>
      </c>
      <c r="D19" s="469">
        <f>A19+16479</f>
        <v>164478</v>
      </c>
      <c r="E19" s="530">
        <f>C19-D19</f>
        <v>16745</v>
      </c>
    </row>
    <row r="20" spans="1:5" s="568" customFormat="1" ht="32.4" customHeight="1">
      <c r="A20" s="503">
        <f>105637</f>
        <v>105637</v>
      </c>
      <c r="B20" s="533" t="s">
        <v>705</v>
      </c>
      <c r="C20" s="469">
        <v>139658</v>
      </c>
      <c r="D20" s="469">
        <f>A20+16380</f>
        <v>122017</v>
      </c>
      <c r="E20" s="530">
        <f>C20-D20</f>
        <v>17641</v>
      </c>
    </row>
    <row r="21" spans="1:5" s="97" customFormat="1" ht="19.05" customHeight="1">
      <c r="A21" s="528">
        <f>A22-A23-1</f>
        <v>2079</v>
      </c>
      <c r="B21" s="531" t="s">
        <v>700</v>
      </c>
      <c r="C21" s="529">
        <f>C22-C23</f>
        <v>54</v>
      </c>
      <c r="D21" s="529">
        <f>D22-D23</f>
        <v>1153</v>
      </c>
      <c r="E21" s="530">
        <f>E22-E23</f>
        <v>-1099</v>
      </c>
    </row>
    <row r="22" spans="1:5" s="470" customFormat="1" ht="19.05" customHeight="1">
      <c r="A22" s="505">
        <v>12548</v>
      </c>
      <c r="B22" s="532" t="s">
        <v>701</v>
      </c>
      <c r="C22" s="468">
        <f>'36.資產折舊明細表'!E11</f>
        <v>12548</v>
      </c>
      <c r="D22" s="468">
        <f>A22</f>
        <v>12548</v>
      </c>
      <c r="E22" s="530">
        <f>C22-D22</f>
        <v>0</v>
      </c>
    </row>
    <row r="23" spans="1:5" s="465" customFormat="1" ht="32.4" customHeight="1">
      <c r="A23" s="505">
        <f>10468</f>
        <v>10468</v>
      </c>
      <c r="B23" s="533" t="s">
        <v>706</v>
      </c>
      <c r="C23" s="468">
        <f>12588-94</f>
        <v>12494</v>
      </c>
      <c r="D23" s="468">
        <v>11395</v>
      </c>
      <c r="E23" s="530">
        <f>C23-D23</f>
        <v>1099</v>
      </c>
    </row>
    <row r="24" spans="1:5" s="97" customFormat="1" ht="19.05" customHeight="1">
      <c r="A24" s="528">
        <f>A25-A26</f>
        <v>3354</v>
      </c>
      <c r="B24" s="531" t="s">
        <v>702</v>
      </c>
      <c r="C24" s="529">
        <f>C25-C26</f>
        <v>3063</v>
      </c>
      <c r="D24" s="529">
        <f>D25-D26</f>
        <v>3894</v>
      </c>
      <c r="E24" s="530">
        <f>E25-E26</f>
        <v>-831</v>
      </c>
    </row>
    <row r="25" spans="1:5" ht="19.05" customHeight="1">
      <c r="A25" s="503">
        <v>27094</v>
      </c>
      <c r="B25" s="532" t="s">
        <v>703</v>
      </c>
      <c r="C25" s="469">
        <v>31372</v>
      </c>
      <c r="D25" s="469">
        <f>A25+2740</f>
        <v>29834</v>
      </c>
      <c r="E25" s="530">
        <f>C25-D25</f>
        <v>1538</v>
      </c>
    </row>
    <row r="26" spans="1:5" ht="19.05" customHeight="1">
      <c r="A26" s="503">
        <v>23740</v>
      </c>
      <c r="B26" s="469" t="s">
        <v>661</v>
      </c>
      <c r="C26" s="469">
        <v>28309</v>
      </c>
      <c r="D26" s="469">
        <f>A26+2200</f>
        <v>25940</v>
      </c>
      <c r="E26" s="530">
        <f>C26-D26</f>
        <v>2369</v>
      </c>
    </row>
    <row r="27" spans="1:5" s="97" customFormat="1" ht="21" hidden="1" customHeight="1">
      <c r="A27" s="528">
        <f>A28</f>
        <v>0</v>
      </c>
      <c r="B27" s="529" t="s">
        <v>600</v>
      </c>
      <c r="C27" s="529">
        <f>C28</f>
        <v>0</v>
      </c>
      <c r="D27" s="529">
        <f>D28</f>
        <v>0</v>
      </c>
      <c r="E27" s="530">
        <f>E28</f>
        <v>0</v>
      </c>
    </row>
    <row r="28" spans="1:5" ht="21" hidden="1" customHeight="1">
      <c r="A28" s="528">
        <v>0</v>
      </c>
      <c r="B28" s="532" t="s">
        <v>601</v>
      </c>
      <c r="C28" s="529">
        <v>0</v>
      </c>
      <c r="D28" s="529">
        <v>0</v>
      </c>
      <c r="E28" s="530">
        <f>C28-D28</f>
        <v>0</v>
      </c>
    </row>
    <row r="29" spans="1:5" ht="20.100000000000001" hidden="1" customHeight="1">
      <c r="A29" s="528"/>
      <c r="B29" s="532"/>
      <c r="C29" s="529"/>
      <c r="D29" s="529"/>
      <c r="E29" s="530"/>
    </row>
    <row r="30" spans="1:5" s="97" customFormat="1" ht="19.05" customHeight="1">
      <c r="A30" s="528">
        <f>A31</f>
        <v>31833</v>
      </c>
      <c r="B30" s="529" t="s">
        <v>602</v>
      </c>
      <c r="C30" s="529">
        <f t="shared" ref="C30:E31" si="0">C31</f>
        <v>12639</v>
      </c>
      <c r="D30" s="529">
        <f t="shared" si="0"/>
        <v>20270</v>
      </c>
      <c r="E30" s="530">
        <f t="shared" si="0"/>
        <v>-7631</v>
      </c>
    </row>
    <row r="31" spans="1:5" s="97" customFormat="1" ht="19.05" customHeight="1">
      <c r="A31" s="528">
        <f>A32</f>
        <v>31833</v>
      </c>
      <c r="B31" s="529" t="s">
        <v>604</v>
      </c>
      <c r="C31" s="529">
        <f t="shared" si="0"/>
        <v>12639</v>
      </c>
      <c r="D31" s="529">
        <f t="shared" si="0"/>
        <v>20270</v>
      </c>
      <c r="E31" s="530">
        <f t="shared" si="0"/>
        <v>-7631</v>
      </c>
    </row>
    <row r="32" spans="1:5" ht="21" hidden="1" customHeight="1">
      <c r="A32" s="503">
        <v>31833</v>
      </c>
      <c r="B32" s="469" t="s">
        <v>605</v>
      </c>
      <c r="C32" s="813">
        <f>12839-200</f>
        <v>12639</v>
      </c>
      <c r="D32" s="469">
        <f>A32-11563</f>
        <v>20270</v>
      </c>
      <c r="E32" s="530">
        <f>C32-D32</f>
        <v>-7631</v>
      </c>
    </row>
    <row r="33" spans="1:5" ht="20.100000000000001" hidden="1" customHeight="1">
      <c r="A33" s="503"/>
      <c r="B33" s="469"/>
      <c r="C33" s="469"/>
      <c r="D33" s="469"/>
      <c r="E33" s="530"/>
    </row>
    <row r="34" spans="1:5" s="97" customFormat="1" ht="19.05" customHeight="1">
      <c r="A34" s="528">
        <f>A35</f>
        <v>1</v>
      </c>
      <c r="B34" s="529" t="s">
        <v>606</v>
      </c>
      <c r="C34" s="529">
        <f t="shared" ref="C34:E35" si="1">C35</f>
        <v>1</v>
      </c>
      <c r="D34" s="529">
        <f t="shared" si="1"/>
        <v>1</v>
      </c>
      <c r="E34" s="530">
        <f t="shared" si="1"/>
        <v>0</v>
      </c>
    </row>
    <row r="35" spans="1:5" s="97" customFormat="1" ht="19.05" customHeight="1">
      <c r="A35" s="528">
        <f>A36</f>
        <v>1</v>
      </c>
      <c r="B35" s="529" t="s">
        <v>607</v>
      </c>
      <c r="C35" s="529">
        <f t="shared" si="1"/>
        <v>1</v>
      </c>
      <c r="D35" s="529">
        <f t="shared" si="1"/>
        <v>1</v>
      </c>
      <c r="E35" s="530">
        <f t="shared" si="1"/>
        <v>0</v>
      </c>
    </row>
    <row r="36" spans="1:5" hidden="1">
      <c r="A36" s="503">
        <v>1</v>
      </c>
      <c r="B36" s="469" t="s">
        <v>608</v>
      </c>
      <c r="C36" s="757">
        <v>1</v>
      </c>
      <c r="D36" s="757">
        <f>A36</f>
        <v>1</v>
      </c>
      <c r="E36" s="530">
        <f>C36-D36</f>
        <v>0</v>
      </c>
    </row>
    <row r="37" spans="1:5" s="97" customFormat="1" ht="19.05" customHeight="1">
      <c r="A37" s="534">
        <f>A7</f>
        <v>494476</v>
      </c>
      <c r="B37" s="535" t="s">
        <v>609</v>
      </c>
      <c r="C37" s="536">
        <f>C7</f>
        <v>506582</v>
      </c>
      <c r="D37" s="536">
        <f>D7</f>
        <v>506874</v>
      </c>
      <c r="E37" s="537">
        <f>E7</f>
        <v>-292</v>
      </c>
    </row>
    <row r="38" spans="1:5" s="97" customFormat="1" ht="7.5" customHeight="1">
      <c r="A38" s="534"/>
      <c r="B38" s="535"/>
      <c r="C38" s="536"/>
      <c r="D38" s="536"/>
      <c r="E38" s="537"/>
    </row>
    <row r="39" spans="1:5" ht="19.05" customHeight="1">
      <c r="A39" s="534">
        <f>A40+A50-1</f>
        <v>266081</v>
      </c>
      <c r="B39" s="535" t="s">
        <v>655</v>
      </c>
      <c r="C39" s="536">
        <f>C40+C50</f>
        <v>257371</v>
      </c>
      <c r="D39" s="536">
        <f>D40+D50</f>
        <v>268171</v>
      </c>
      <c r="E39" s="537">
        <f>E40+E50</f>
        <v>-10800</v>
      </c>
    </row>
    <row r="40" spans="1:5" ht="19.05" customHeight="1">
      <c r="A40" s="528">
        <f>A41+A47+1</f>
        <v>246690</v>
      </c>
      <c r="B40" s="529" t="s">
        <v>578</v>
      </c>
      <c r="C40" s="529">
        <f>C41+C47</f>
        <v>237929</v>
      </c>
      <c r="D40" s="529">
        <f>D41+D47</f>
        <v>249279</v>
      </c>
      <c r="E40" s="530">
        <f>E41+E47</f>
        <v>-11350</v>
      </c>
    </row>
    <row r="41" spans="1:5" ht="19.05" customHeight="1">
      <c r="A41" s="528">
        <f>SUM(A42:A46)</f>
        <v>135761</v>
      </c>
      <c r="B41" s="529" t="s">
        <v>580</v>
      </c>
      <c r="C41" s="529">
        <f>SUM(C42:C46)</f>
        <v>124929</v>
      </c>
      <c r="D41" s="529">
        <f>SUM(D42:D46)</f>
        <v>138351</v>
      </c>
      <c r="E41" s="530">
        <f>SUM(E42:E46)</f>
        <v>-13422</v>
      </c>
    </row>
    <row r="42" spans="1:5" ht="21" hidden="1" customHeight="1">
      <c r="A42" s="503">
        <v>530</v>
      </c>
      <c r="B42" s="469" t="s">
        <v>582</v>
      </c>
      <c r="C42" s="529">
        <v>330</v>
      </c>
      <c r="D42" s="529">
        <f>A42</f>
        <v>530</v>
      </c>
      <c r="E42" s="530">
        <f>C42-D42</f>
        <v>-200</v>
      </c>
    </row>
    <row r="43" spans="1:5" ht="21" hidden="1" customHeight="1">
      <c r="A43" s="503">
        <v>20371</v>
      </c>
      <c r="B43" s="469" t="s">
        <v>584</v>
      </c>
      <c r="C43" s="529">
        <v>16076</v>
      </c>
      <c r="D43" s="529">
        <f>A43+590</f>
        <v>20961</v>
      </c>
      <c r="E43" s="530">
        <f>C43-D43</f>
        <v>-4885</v>
      </c>
    </row>
    <row r="44" spans="1:5" ht="21" hidden="1" customHeight="1">
      <c r="A44" s="503">
        <v>111820</v>
      </c>
      <c r="B44" s="469" t="s">
        <v>586</v>
      </c>
      <c r="C44" s="529">
        <v>104640</v>
      </c>
      <c r="D44" s="529">
        <f>A44+1000</f>
        <v>112820</v>
      </c>
      <c r="E44" s="530">
        <f>C44-D44</f>
        <v>-8180</v>
      </c>
    </row>
    <row r="45" spans="1:5" ht="21" hidden="1" customHeight="1">
      <c r="A45" s="503"/>
      <c r="B45" s="469" t="s">
        <v>588</v>
      </c>
      <c r="C45" s="529">
        <v>0</v>
      </c>
      <c r="D45" s="529">
        <v>0</v>
      </c>
      <c r="E45" s="530">
        <f>C45-D45</f>
        <v>0</v>
      </c>
    </row>
    <row r="46" spans="1:5" ht="21" hidden="1" customHeight="1">
      <c r="A46" s="503">
        <v>3040</v>
      </c>
      <c r="B46" s="469" t="s">
        <v>590</v>
      </c>
      <c r="C46" s="529">
        <v>3883</v>
      </c>
      <c r="D46" s="529">
        <f>A46+1000</f>
        <v>4040</v>
      </c>
      <c r="E46" s="530">
        <f>C46-D46</f>
        <v>-157</v>
      </c>
    </row>
    <row r="47" spans="1:5" ht="19.05" customHeight="1">
      <c r="A47" s="528">
        <f>A48</f>
        <v>110928</v>
      </c>
      <c r="B47" s="529" t="s">
        <v>592</v>
      </c>
      <c r="C47" s="529">
        <f>SUM(C48:C48)</f>
        <v>113000</v>
      </c>
      <c r="D47" s="529">
        <f>SUM(D48:D48)</f>
        <v>110928</v>
      </c>
      <c r="E47" s="530">
        <f>SUM(E48:E48)</f>
        <v>2072</v>
      </c>
    </row>
    <row r="48" spans="1:5" ht="21" hidden="1" customHeight="1">
      <c r="A48" s="503">
        <v>110928</v>
      </c>
      <c r="B48" s="469" t="s">
        <v>593</v>
      </c>
      <c r="C48" s="469">
        <v>113000</v>
      </c>
      <c r="D48" s="469">
        <f>A48</f>
        <v>110928</v>
      </c>
      <c r="E48" s="530">
        <f>C48-D48</f>
        <v>2072</v>
      </c>
    </row>
    <row r="49" spans="1:5" ht="21" hidden="1" customHeight="1">
      <c r="A49" s="503"/>
      <c r="B49" s="469"/>
      <c r="C49" s="469"/>
      <c r="D49" s="469"/>
      <c r="E49" s="530"/>
    </row>
    <row r="50" spans="1:5" ht="19.05" customHeight="1">
      <c r="A50" s="528">
        <f>A51</f>
        <v>19392</v>
      </c>
      <c r="B50" s="529" t="s">
        <v>595</v>
      </c>
      <c r="C50" s="529">
        <f>C51</f>
        <v>19442</v>
      </c>
      <c r="D50" s="529">
        <f>D51</f>
        <v>18892</v>
      </c>
      <c r="E50" s="530">
        <f>E51</f>
        <v>550</v>
      </c>
    </row>
    <row r="51" spans="1:5" ht="19.05" customHeight="1">
      <c r="A51" s="528">
        <v>19392</v>
      </c>
      <c r="B51" s="529" t="s">
        <v>596</v>
      </c>
      <c r="C51" s="529">
        <f>C52+C53</f>
        <v>19442</v>
      </c>
      <c r="D51" s="529">
        <f>D52+D53</f>
        <v>18892</v>
      </c>
      <c r="E51" s="530">
        <f>E52+E53</f>
        <v>550</v>
      </c>
    </row>
    <row r="52" spans="1:5" ht="21" hidden="1" customHeight="1">
      <c r="A52" s="503">
        <v>12554</v>
      </c>
      <c r="B52" s="469" t="s">
        <v>597</v>
      </c>
      <c r="C52" s="529">
        <v>12200</v>
      </c>
      <c r="D52" s="529">
        <f>A52-1000</f>
        <v>11554</v>
      </c>
      <c r="E52" s="530">
        <f>C52-D52</f>
        <v>646</v>
      </c>
    </row>
    <row r="53" spans="1:5" ht="21" hidden="1" customHeight="1">
      <c r="A53" s="503">
        <v>6838</v>
      </c>
      <c r="B53" s="469" t="s">
        <v>598</v>
      </c>
      <c r="C53" s="529">
        <v>7242</v>
      </c>
      <c r="D53" s="529">
        <f>A53+500</f>
        <v>7338</v>
      </c>
      <c r="E53" s="530">
        <f>C53-D53</f>
        <v>-96</v>
      </c>
    </row>
    <row r="54" spans="1:5" ht="21" hidden="1" customHeight="1">
      <c r="A54" s="503"/>
      <c r="B54" s="469"/>
      <c r="C54" s="529"/>
      <c r="D54" s="529"/>
      <c r="E54" s="530"/>
    </row>
    <row r="55" spans="1:5" ht="21" hidden="1" customHeight="1">
      <c r="A55" s="503"/>
      <c r="B55" s="469"/>
      <c r="C55" s="529"/>
      <c r="D55" s="529"/>
      <c r="E55" s="530"/>
    </row>
    <row r="56" spans="1:5" ht="21" hidden="1" customHeight="1">
      <c r="A56" s="503"/>
      <c r="B56" s="469"/>
      <c r="C56" s="529"/>
      <c r="D56" s="529"/>
      <c r="E56" s="530"/>
    </row>
    <row r="57" spans="1:5" ht="21" hidden="1" customHeight="1">
      <c r="A57" s="505"/>
      <c r="B57" s="468"/>
      <c r="C57" s="468"/>
      <c r="D57" s="468"/>
      <c r="E57" s="538"/>
    </row>
    <row r="58" spans="1:5" ht="19.05" customHeight="1">
      <c r="A58" s="534">
        <f>A59+A63+A67</f>
        <v>228395</v>
      </c>
      <c r="B58" s="535" t="s">
        <v>599</v>
      </c>
      <c r="C58" s="536">
        <f>C59+C63+C67</f>
        <v>249211</v>
      </c>
      <c r="D58" s="536">
        <f>D59+D63+D67</f>
        <v>238703</v>
      </c>
      <c r="E58" s="537">
        <f>E59+E67</f>
        <v>10508</v>
      </c>
    </row>
    <row r="59" spans="1:5" ht="19.05" customHeight="1">
      <c r="A59" s="528">
        <f>A60</f>
        <v>127203</v>
      </c>
      <c r="B59" s="529" t="s">
        <v>144</v>
      </c>
      <c r="C59" s="529">
        <f t="shared" ref="C59:E63" si="2">C60</f>
        <v>127203</v>
      </c>
      <c r="D59" s="529">
        <f t="shared" si="2"/>
        <v>127203</v>
      </c>
      <c r="E59" s="530">
        <f t="shared" si="2"/>
        <v>0</v>
      </c>
    </row>
    <row r="60" spans="1:5" ht="19.05" customHeight="1">
      <c r="A60" s="528">
        <f>A61</f>
        <v>127203</v>
      </c>
      <c r="B60" s="529" t="s">
        <v>145</v>
      </c>
      <c r="C60" s="529">
        <f t="shared" si="2"/>
        <v>127203</v>
      </c>
      <c r="D60" s="529">
        <f t="shared" si="2"/>
        <v>127203</v>
      </c>
      <c r="E60" s="530">
        <f t="shared" si="2"/>
        <v>0</v>
      </c>
    </row>
    <row r="61" spans="1:5" ht="21" hidden="1" customHeight="1">
      <c r="A61" s="503">
        <v>127203</v>
      </c>
      <c r="B61" s="469" t="s">
        <v>146</v>
      </c>
      <c r="C61" s="469">
        <v>127203</v>
      </c>
      <c r="D61" s="469">
        <f>A61</f>
        <v>127203</v>
      </c>
      <c r="E61" s="530">
        <f t="shared" si="2"/>
        <v>0</v>
      </c>
    </row>
    <row r="62" spans="1:5" ht="21" hidden="1" customHeight="1">
      <c r="A62" s="503"/>
      <c r="B62" s="469"/>
      <c r="C62" s="469"/>
      <c r="D62" s="469"/>
      <c r="E62" s="530">
        <f t="shared" si="2"/>
        <v>0</v>
      </c>
    </row>
    <row r="63" spans="1:5" ht="19.05" customHeight="1">
      <c r="A63" s="528">
        <f>A64</f>
        <v>160</v>
      </c>
      <c r="B63" s="529" t="s">
        <v>869</v>
      </c>
      <c r="C63" s="469">
        <f>C64</f>
        <v>160</v>
      </c>
      <c r="D63" s="469">
        <f>D64</f>
        <v>160</v>
      </c>
      <c r="E63" s="530">
        <f t="shared" si="2"/>
        <v>0</v>
      </c>
    </row>
    <row r="64" spans="1:5" ht="19.05" customHeight="1">
      <c r="A64" s="528">
        <f>A65</f>
        <v>160</v>
      </c>
      <c r="B64" s="529" t="s">
        <v>870</v>
      </c>
      <c r="C64" s="469">
        <f>C65</f>
        <v>160</v>
      </c>
      <c r="D64" s="469">
        <f>D65</f>
        <v>160</v>
      </c>
      <c r="E64" s="530">
        <f>C64-D64</f>
        <v>0</v>
      </c>
    </row>
    <row r="65" spans="1:5" ht="21" hidden="1" customHeight="1">
      <c r="A65" s="503">
        <v>160</v>
      </c>
      <c r="B65" s="539" t="s">
        <v>871</v>
      </c>
      <c r="C65" s="469">
        <v>160</v>
      </c>
      <c r="D65" s="469">
        <v>160</v>
      </c>
      <c r="E65" s="530"/>
    </row>
    <row r="66" spans="1:5" ht="21" hidden="1" customHeight="1">
      <c r="A66" s="503"/>
      <c r="B66" s="469"/>
      <c r="C66" s="469"/>
      <c r="D66" s="469"/>
      <c r="E66" s="530"/>
    </row>
    <row r="67" spans="1:5" ht="19.05" customHeight="1">
      <c r="A67" s="528">
        <f>A68</f>
        <v>101032</v>
      </c>
      <c r="B67" s="529" t="s">
        <v>603</v>
      </c>
      <c r="C67" s="529">
        <f>C68</f>
        <v>121848</v>
      </c>
      <c r="D67" s="529">
        <f>D68</f>
        <v>111340</v>
      </c>
      <c r="E67" s="530">
        <f>E68</f>
        <v>10508</v>
      </c>
    </row>
    <row r="68" spans="1:5" ht="19.05" customHeight="1">
      <c r="A68" s="528">
        <f>SUM(A69)</f>
        <v>101032</v>
      </c>
      <c r="B68" s="529" t="s">
        <v>147</v>
      </c>
      <c r="C68" s="842">
        <f>SUM(C69)</f>
        <v>121848</v>
      </c>
      <c r="D68" s="842">
        <f>SUM(D69)</f>
        <v>111340</v>
      </c>
      <c r="E68" s="880">
        <f>SUM(E69)</f>
        <v>10508</v>
      </c>
    </row>
    <row r="69" spans="1:5" ht="21" hidden="1" customHeight="1">
      <c r="A69" s="505">
        <v>101032</v>
      </c>
      <c r="B69" s="539" t="s">
        <v>148</v>
      </c>
      <c r="C69" s="812">
        <f>D69+10508</f>
        <v>121848</v>
      </c>
      <c r="D69" s="812">
        <f>A69+10308</f>
        <v>111340</v>
      </c>
      <c r="E69" s="530">
        <f>C69-D69</f>
        <v>10508</v>
      </c>
    </row>
    <row r="70" spans="1:5" ht="21" hidden="1" customHeight="1">
      <c r="A70" s="505"/>
      <c r="B70" s="539"/>
      <c r="C70" s="539"/>
      <c r="D70" s="539"/>
      <c r="E70" s="530"/>
    </row>
    <row r="71" spans="1:5" ht="19.05" customHeight="1" thickBot="1">
      <c r="A71" s="928">
        <f>A39+A58</f>
        <v>494476</v>
      </c>
      <c r="B71" s="540" t="s">
        <v>610</v>
      </c>
      <c r="C71" s="541">
        <f>C39+C58</f>
        <v>506582</v>
      </c>
      <c r="D71" s="541">
        <f>D39+D58</f>
        <v>506874</v>
      </c>
      <c r="E71" s="542">
        <f>E39+E58</f>
        <v>-292</v>
      </c>
    </row>
    <row r="72" spans="1:5">
      <c r="A72" s="929" t="s">
        <v>1054</v>
      </c>
      <c r="B72" s="33"/>
      <c r="C72" s="929"/>
      <c r="D72" s="33"/>
      <c r="E72" s="929"/>
    </row>
  </sheetData>
  <mergeCells count="5">
    <mergeCell ref="A5:E5"/>
    <mergeCell ref="A4:E4"/>
    <mergeCell ref="A2:E2"/>
    <mergeCell ref="A1:E1"/>
    <mergeCell ref="A3:E3"/>
  </mergeCells>
  <phoneticPr fontId="2" type="noConversion"/>
  <printOptions horizontalCentered="1"/>
  <pageMargins left="0.6692913385826772" right="0.6692913385826772" top="0.59055118110236227" bottom="0.59055118110236227" header="0.51181102362204722" footer="0.51181102362204722"/>
  <pageSetup paperSize="9" scale="92" firstPageNumber="39" orientation="portrait" blackAndWhite="1" useFirstPageNumber="1" r:id="rId1"/>
  <headerFooter scaleWithDoc="0" alignWithMargins="0">
    <oddFooter>&amp;C&amp;"Arial Unicode MS,標準"&amp;P</oddFooter>
  </headerFooter>
  <legacyDrawing r:id="rId2"/>
</worksheet>
</file>

<file path=xl/worksheets/sheet38.xml><?xml version="1.0" encoding="utf-8"?>
<worksheet xmlns="http://schemas.openxmlformats.org/spreadsheetml/2006/main" xmlns:r="http://schemas.openxmlformats.org/officeDocument/2006/relationships">
  <sheetPr>
    <tabColor rgb="FFFFFFCC"/>
  </sheetPr>
  <dimension ref="A1:E72"/>
  <sheetViews>
    <sheetView view="pageBreakPreview" topLeftCell="A46" zoomScaleNormal="100" zoomScaleSheetLayoutView="100" workbookViewId="0">
      <selection activeCell="E61" sqref="E61"/>
    </sheetView>
  </sheetViews>
  <sheetFormatPr defaultColWidth="9" defaultRowHeight="16.2"/>
  <cols>
    <col min="1" max="1" width="14.6640625" style="95" customWidth="1"/>
    <col min="2" max="2" width="29.21875" style="41" customWidth="1"/>
    <col min="3" max="3" width="16" style="95" customWidth="1"/>
    <col min="4" max="4" width="15.88671875" style="41" customWidth="1"/>
    <col min="5" max="5" width="15.77734375" style="95" customWidth="1"/>
    <col min="6" max="16384" width="9" style="41"/>
  </cols>
  <sheetData>
    <row r="1" spans="1:5" ht="24.6">
      <c r="A1" s="1022" t="s">
        <v>658</v>
      </c>
      <c r="B1" s="1022"/>
      <c r="C1" s="1022"/>
      <c r="D1" s="1022"/>
      <c r="E1" s="1022"/>
    </row>
    <row r="2" spans="1:5" ht="22.2">
      <c r="A2" s="1023" t="s">
        <v>657</v>
      </c>
      <c r="B2" s="1023"/>
      <c r="C2" s="1023"/>
      <c r="D2" s="1023"/>
      <c r="E2" s="1023"/>
    </row>
    <row r="3" spans="1:5" ht="22.2">
      <c r="A3" s="1024" t="s">
        <v>656</v>
      </c>
      <c r="B3" s="1024"/>
      <c r="C3" s="1024"/>
      <c r="D3" s="1024"/>
      <c r="E3" s="1024"/>
    </row>
    <row r="4" spans="1:5" s="271" customFormat="1" ht="19.8">
      <c r="A4" s="1025" t="s">
        <v>1050</v>
      </c>
      <c r="B4" s="1025"/>
      <c r="C4" s="1025"/>
      <c r="D4" s="1025"/>
      <c r="E4" s="1025"/>
    </row>
    <row r="5" spans="1:5" ht="16.8" thickBot="1">
      <c r="A5" s="1217" t="s">
        <v>672</v>
      </c>
      <c r="B5" s="1217"/>
      <c r="C5" s="1217"/>
      <c r="D5" s="1217"/>
      <c r="E5" s="1217"/>
    </row>
    <row r="6" spans="1:5" ht="35.25" customHeight="1">
      <c r="A6" s="514" t="s">
        <v>1051</v>
      </c>
      <c r="B6" s="815" t="s">
        <v>390</v>
      </c>
      <c r="C6" s="515" t="s">
        <v>1053</v>
      </c>
      <c r="D6" s="515" t="s">
        <v>878</v>
      </c>
      <c r="E6" s="516" t="s">
        <v>389</v>
      </c>
    </row>
    <row r="7" spans="1:5" s="97" customFormat="1" ht="20.100000000000001" customHeight="1">
      <c r="A7" s="787">
        <f>A8+A17+A30+A34</f>
        <v>494476</v>
      </c>
      <c r="B7" s="525" t="s">
        <v>461</v>
      </c>
      <c r="C7" s="526">
        <f>C8+C17+C30+C34</f>
        <v>505100</v>
      </c>
      <c r="D7" s="526">
        <f>D8+D17+D30+D34</f>
        <v>506068</v>
      </c>
      <c r="E7" s="527">
        <f>E8+E17+E30+E34</f>
        <v>-968</v>
      </c>
    </row>
    <row r="8" spans="1:5" s="97" customFormat="1" ht="20.100000000000001" customHeight="1">
      <c r="A8" s="784">
        <f>A9+A14+A11</f>
        <v>414847</v>
      </c>
      <c r="B8" s="529" t="s">
        <v>143</v>
      </c>
      <c r="C8" s="529">
        <f>C9+C14+C11</f>
        <v>447778</v>
      </c>
      <c r="D8" s="529">
        <f>D9+D14+D11</f>
        <v>438289</v>
      </c>
      <c r="E8" s="530">
        <f>E9+E14+E11</f>
        <v>9489</v>
      </c>
    </row>
    <row r="9" spans="1:5" s="97" customFormat="1" ht="20.100000000000001" customHeight="1">
      <c r="A9" s="784">
        <f>A10</f>
        <v>409041</v>
      </c>
      <c r="B9" s="529" t="s">
        <v>178</v>
      </c>
      <c r="C9" s="529">
        <f>C10</f>
        <v>439513</v>
      </c>
      <c r="D9" s="757">
        <f>D10</f>
        <v>431419</v>
      </c>
      <c r="E9" s="530">
        <f>E10</f>
        <v>8094</v>
      </c>
    </row>
    <row r="10" spans="1:5" ht="21" customHeight="1">
      <c r="A10" s="785">
        <v>409041</v>
      </c>
      <c r="B10" s="469" t="s">
        <v>581</v>
      </c>
      <c r="C10" s="813">
        <f>437207-94+2400</f>
        <v>439513</v>
      </c>
      <c r="D10" s="773">
        <f>A10+22472-94</f>
        <v>431419</v>
      </c>
      <c r="E10" s="530">
        <f>C10-D10</f>
        <v>8094</v>
      </c>
    </row>
    <row r="11" spans="1:5" s="97" customFormat="1" ht="21" customHeight="1">
      <c r="A11" s="784">
        <f>SUM(A12:A13)</f>
        <v>868</v>
      </c>
      <c r="B11" s="529" t="s">
        <v>539</v>
      </c>
      <c r="C11" s="757">
        <f>C12+C13</f>
        <v>1107</v>
      </c>
      <c r="D11" s="757">
        <f>D12+D13</f>
        <v>432</v>
      </c>
      <c r="E11" s="530">
        <f>E12+E13</f>
        <v>675</v>
      </c>
    </row>
    <row r="12" spans="1:5" ht="21" customHeight="1">
      <c r="A12" s="785">
        <v>21</v>
      </c>
      <c r="B12" s="469" t="s">
        <v>585</v>
      </c>
      <c r="C12" s="757">
        <v>32</v>
      </c>
      <c r="D12" s="757">
        <f>A12+10</f>
        <v>31</v>
      </c>
      <c r="E12" s="530">
        <f>C12-D12</f>
        <v>1</v>
      </c>
    </row>
    <row r="13" spans="1:5" ht="21" customHeight="1">
      <c r="A13" s="785">
        <v>847</v>
      </c>
      <c r="B13" s="469" t="s">
        <v>587</v>
      </c>
      <c r="C13" s="757">
        <v>1075</v>
      </c>
      <c r="D13" s="757">
        <f>A13-446</f>
        <v>401</v>
      </c>
      <c r="E13" s="530">
        <f>C13-D13</f>
        <v>674</v>
      </c>
    </row>
    <row r="14" spans="1:5" s="97" customFormat="1" ht="20.100000000000001" customHeight="1">
      <c r="A14" s="784">
        <f>A15</f>
        <v>4938</v>
      </c>
      <c r="B14" s="529" t="s">
        <v>589</v>
      </c>
      <c r="C14" s="757">
        <f>C15</f>
        <v>7158</v>
      </c>
      <c r="D14" s="757">
        <f>D15</f>
        <v>6438</v>
      </c>
      <c r="E14" s="530">
        <f>E15</f>
        <v>720</v>
      </c>
    </row>
    <row r="15" spans="1:5" ht="21" customHeight="1">
      <c r="A15" s="785">
        <v>4938</v>
      </c>
      <c r="B15" s="469" t="s">
        <v>591</v>
      </c>
      <c r="C15" s="773">
        <v>7158</v>
      </c>
      <c r="D15" s="773">
        <f>A15+1500</f>
        <v>6438</v>
      </c>
      <c r="E15" s="530">
        <f>C15-D15</f>
        <v>720</v>
      </c>
    </row>
    <row r="16" spans="1:5" ht="20.100000000000001" customHeight="1">
      <c r="A16" s="503"/>
      <c r="B16" s="469"/>
      <c r="C16" s="469"/>
      <c r="D16" s="469"/>
      <c r="E16" s="530"/>
    </row>
    <row r="17" spans="1:5" s="97" customFormat="1" ht="20.100000000000001" customHeight="1">
      <c r="A17" s="791">
        <f>A18+A21+A24+A27-1</f>
        <v>47795</v>
      </c>
      <c r="B17" s="529" t="s">
        <v>594</v>
      </c>
      <c r="C17" s="757">
        <f>C18+C21+C24+C27</f>
        <v>44682</v>
      </c>
      <c r="D17" s="529">
        <f>D18+D21+D24+D27</f>
        <v>47508</v>
      </c>
      <c r="E17" s="530">
        <f>E18+E21+E24+E27</f>
        <v>-2826</v>
      </c>
    </row>
    <row r="18" spans="1:5" s="97" customFormat="1" ht="20.100000000000001" customHeight="1">
      <c r="A18" s="791">
        <f>A19-A20+1</f>
        <v>42363</v>
      </c>
      <c r="B18" s="531" t="s">
        <v>659</v>
      </c>
      <c r="C18" s="757">
        <f>C19-C20</f>
        <v>41565</v>
      </c>
      <c r="D18" s="529">
        <f>D19-D20</f>
        <v>42461</v>
      </c>
      <c r="E18" s="530">
        <f>E19-E20</f>
        <v>-896</v>
      </c>
    </row>
    <row r="19" spans="1:5" s="567" customFormat="1" ht="20.100000000000001" customHeight="1">
      <c r="A19" s="785">
        <v>147999</v>
      </c>
      <c r="B19" s="532" t="s">
        <v>660</v>
      </c>
      <c r="C19" s="773">
        <f>'36.資產折舊明細表'!D11</f>
        <v>181223</v>
      </c>
      <c r="D19" s="773">
        <f>A19+16479</f>
        <v>164478</v>
      </c>
      <c r="E19" s="530">
        <f>C19-D19</f>
        <v>16745</v>
      </c>
    </row>
    <row r="20" spans="1:5" s="568" customFormat="1" ht="37.5" customHeight="1">
      <c r="A20" s="785">
        <f>105637</f>
        <v>105637</v>
      </c>
      <c r="B20" s="533" t="s">
        <v>705</v>
      </c>
      <c r="C20" s="773">
        <v>139658</v>
      </c>
      <c r="D20" s="773">
        <f>A20+16380</f>
        <v>122017</v>
      </c>
      <c r="E20" s="530">
        <f>C20-D20</f>
        <v>17641</v>
      </c>
    </row>
    <row r="21" spans="1:5" s="97" customFormat="1" ht="20.100000000000001" customHeight="1">
      <c r="A21" s="791">
        <f>A22-A23-1</f>
        <v>2079</v>
      </c>
      <c r="B21" s="531" t="s">
        <v>700</v>
      </c>
      <c r="C21" s="757">
        <f>C22-C23</f>
        <v>54</v>
      </c>
      <c r="D21" s="529">
        <f>D22-D23</f>
        <v>1153</v>
      </c>
      <c r="E21" s="530">
        <f>E22-E23</f>
        <v>-1099</v>
      </c>
    </row>
    <row r="22" spans="1:5" s="470" customFormat="1" ht="20.100000000000001" customHeight="1">
      <c r="A22" s="786">
        <v>12548</v>
      </c>
      <c r="B22" s="532" t="s">
        <v>701</v>
      </c>
      <c r="C22" s="790">
        <f>'36.資產折舊明細表'!E11</f>
        <v>12548</v>
      </c>
      <c r="D22" s="790">
        <f>A22</f>
        <v>12548</v>
      </c>
      <c r="E22" s="530">
        <f>C22-D22</f>
        <v>0</v>
      </c>
    </row>
    <row r="23" spans="1:5" s="465" customFormat="1" ht="36.75" customHeight="1">
      <c r="A23" s="792">
        <f>10468</f>
        <v>10468</v>
      </c>
      <c r="B23" s="533" t="s">
        <v>706</v>
      </c>
      <c r="C23" s="790">
        <f>12588-94</f>
        <v>12494</v>
      </c>
      <c r="D23" s="793">
        <v>11395</v>
      </c>
      <c r="E23" s="530">
        <f>C23-D23</f>
        <v>1099</v>
      </c>
    </row>
    <row r="24" spans="1:5" s="97" customFormat="1" ht="20.100000000000001" customHeight="1">
      <c r="A24" s="784">
        <f>A25-A26</f>
        <v>3354</v>
      </c>
      <c r="B24" s="531" t="s">
        <v>702</v>
      </c>
      <c r="C24" s="757">
        <f>C25-C26</f>
        <v>3063</v>
      </c>
      <c r="D24" s="529">
        <f>D25-D26</f>
        <v>3894</v>
      </c>
      <c r="E24" s="530">
        <f>E25-E26</f>
        <v>-831</v>
      </c>
    </row>
    <row r="25" spans="1:5" ht="20.100000000000001" customHeight="1">
      <c r="A25" s="785">
        <v>27094</v>
      </c>
      <c r="B25" s="532" t="s">
        <v>703</v>
      </c>
      <c r="C25" s="773">
        <v>31372</v>
      </c>
      <c r="D25" s="773">
        <f>A25+2740</f>
        <v>29834</v>
      </c>
      <c r="E25" s="530">
        <f>C25-D25</f>
        <v>1538</v>
      </c>
    </row>
    <row r="26" spans="1:5" ht="20.100000000000001" customHeight="1">
      <c r="A26" s="785">
        <v>23740</v>
      </c>
      <c r="B26" s="469" t="s">
        <v>661</v>
      </c>
      <c r="C26" s="773">
        <v>28309</v>
      </c>
      <c r="D26" s="773">
        <f>A26+2200</f>
        <v>25940</v>
      </c>
      <c r="E26" s="530">
        <f>C26-D26</f>
        <v>2369</v>
      </c>
    </row>
    <row r="27" spans="1:5" s="97" customFormat="1" ht="21" customHeight="1">
      <c r="A27" s="528">
        <f>A28</f>
        <v>0</v>
      </c>
      <c r="B27" s="529" t="s">
        <v>600</v>
      </c>
      <c r="C27" s="529">
        <f>C28</f>
        <v>0</v>
      </c>
      <c r="D27" s="529">
        <f>D28</f>
        <v>0</v>
      </c>
      <c r="E27" s="530">
        <f>E28</f>
        <v>0</v>
      </c>
    </row>
    <row r="28" spans="1:5" ht="21" customHeight="1">
      <c r="A28" s="528">
        <v>0</v>
      </c>
      <c r="B28" s="532" t="s">
        <v>601</v>
      </c>
      <c r="C28" s="529">
        <v>0</v>
      </c>
      <c r="D28" s="529">
        <v>0</v>
      </c>
      <c r="E28" s="530">
        <f>C28-D28</f>
        <v>0</v>
      </c>
    </row>
    <row r="29" spans="1:5" ht="20.100000000000001" customHeight="1">
      <c r="A29" s="528"/>
      <c r="B29" s="532"/>
      <c r="C29" s="529"/>
      <c r="D29" s="529"/>
      <c r="E29" s="530"/>
    </row>
    <row r="30" spans="1:5" s="97" customFormat="1" ht="20.100000000000001" customHeight="1">
      <c r="A30" s="784">
        <f>A31</f>
        <v>31833</v>
      </c>
      <c r="B30" s="529" t="s">
        <v>181</v>
      </c>
      <c r="C30" s="757">
        <f t="shared" ref="C30:E31" si="0">C31</f>
        <v>12639</v>
      </c>
      <c r="D30" s="757">
        <f t="shared" si="0"/>
        <v>20270</v>
      </c>
      <c r="E30" s="530">
        <f t="shared" si="0"/>
        <v>-7631</v>
      </c>
    </row>
    <row r="31" spans="1:5" s="97" customFormat="1" ht="20.100000000000001" customHeight="1">
      <c r="A31" s="784">
        <f>A32</f>
        <v>31833</v>
      </c>
      <c r="B31" s="529" t="s">
        <v>604</v>
      </c>
      <c r="C31" s="757">
        <f t="shared" si="0"/>
        <v>12639</v>
      </c>
      <c r="D31" s="757">
        <f t="shared" si="0"/>
        <v>20270</v>
      </c>
      <c r="E31" s="530">
        <f t="shared" si="0"/>
        <v>-7631</v>
      </c>
    </row>
    <row r="32" spans="1:5" ht="21" customHeight="1">
      <c r="A32" s="785">
        <v>31833</v>
      </c>
      <c r="B32" s="469" t="s">
        <v>605</v>
      </c>
      <c r="C32" s="811">
        <f>12839-200</f>
        <v>12639</v>
      </c>
      <c r="D32" s="773">
        <f>A32-11563</f>
        <v>20270</v>
      </c>
      <c r="E32" s="530">
        <f>C32-D32</f>
        <v>-7631</v>
      </c>
    </row>
    <row r="33" spans="1:5" ht="20.100000000000001" customHeight="1">
      <c r="A33" s="785"/>
      <c r="B33" s="469"/>
      <c r="C33" s="469"/>
      <c r="D33" s="469"/>
      <c r="E33" s="530"/>
    </row>
    <row r="34" spans="1:5" s="97" customFormat="1" ht="20.100000000000001" customHeight="1">
      <c r="A34" s="784">
        <f>A35</f>
        <v>1</v>
      </c>
      <c r="B34" s="529" t="s">
        <v>606</v>
      </c>
      <c r="C34" s="757">
        <f t="shared" ref="C34:E35" si="1">C35</f>
        <v>1</v>
      </c>
      <c r="D34" s="757">
        <f t="shared" si="1"/>
        <v>1</v>
      </c>
      <c r="E34" s="530">
        <f t="shared" si="1"/>
        <v>0</v>
      </c>
    </row>
    <row r="35" spans="1:5" s="97" customFormat="1" ht="20.100000000000001" customHeight="1">
      <c r="A35" s="784">
        <f>A36</f>
        <v>1</v>
      </c>
      <c r="B35" s="529" t="s">
        <v>607</v>
      </c>
      <c r="C35" s="757">
        <f t="shared" si="1"/>
        <v>1</v>
      </c>
      <c r="D35" s="757">
        <f t="shared" si="1"/>
        <v>1</v>
      </c>
      <c r="E35" s="530">
        <f t="shared" si="1"/>
        <v>0</v>
      </c>
    </row>
    <row r="36" spans="1:5">
      <c r="A36" s="785">
        <v>1</v>
      </c>
      <c r="B36" s="469" t="s">
        <v>548</v>
      </c>
      <c r="C36" s="757">
        <v>1</v>
      </c>
      <c r="D36" s="757">
        <f>A36</f>
        <v>1</v>
      </c>
      <c r="E36" s="530">
        <f>C36-D36</f>
        <v>0</v>
      </c>
    </row>
    <row r="37" spans="1:5" s="97" customFormat="1" ht="20.100000000000001" customHeight="1">
      <c r="A37" s="788">
        <f>A7</f>
        <v>494476</v>
      </c>
      <c r="B37" s="535" t="s">
        <v>609</v>
      </c>
      <c r="C37" s="536">
        <f>C7</f>
        <v>505100</v>
      </c>
      <c r="D37" s="536">
        <f>D7</f>
        <v>506068</v>
      </c>
      <c r="E37" s="537">
        <f>E7</f>
        <v>-968</v>
      </c>
    </row>
    <row r="38" spans="1:5" s="97" customFormat="1" ht="7.5" customHeight="1">
      <c r="A38" s="534"/>
      <c r="B38" s="535"/>
      <c r="C38" s="536"/>
      <c r="D38" s="536"/>
      <c r="E38" s="537"/>
    </row>
    <row r="39" spans="1:5" ht="20.100000000000001" customHeight="1">
      <c r="A39" s="788">
        <f>A40+A50-1</f>
        <v>266081</v>
      </c>
      <c r="B39" s="535" t="s">
        <v>462</v>
      </c>
      <c r="C39" s="536">
        <f>C40+C50</f>
        <v>257371</v>
      </c>
      <c r="D39" s="536">
        <f>D40+D50</f>
        <v>268171</v>
      </c>
      <c r="E39" s="537">
        <f>E40+E50</f>
        <v>-10800</v>
      </c>
    </row>
    <row r="40" spans="1:5" ht="20.100000000000001" customHeight="1">
      <c r="A40" s="791">
        <f>A41+A47+1</f>
        <v>246690</v>
      </c>
      <c r="B40" s="529" t="s">
        <v>578</v>
      </c>
      <c r="C40" s="529">
        <f>C41+C47</f>
        <v>237929</v>
      </c>
      <c r="D40" s="529">
        <f>D41+D47</f>
        <v>249279</v>
      </c>
      <c r="E40" s="530">
        <f>E41+E47</f>
        <v>-11350</v>
      </c>
    </row>
    <row r="41" spans="1:5" ht="20.100000000000001" customHeight="1">
      <c r="A41" s="784">
        <f>SUM(A42:A46)</f>
        <v>135761</v>
      </c>
      <c r="B41" s="529" t="s">
        <v>580</v>
      </c>
      <c r="C41" s="757">
        <f>SUM(C42:C46)</f>
        <v>124929</v>
      </c>
      <c r="D41" s="529">
        <f>SUM(D42:D46)</f>
        <v>138351</v>
      </c>
      <c r="E41" s="530">
        <f>SUM(E42:E46)</f>
        <v>-13422</v>
      </c>
    </row>
    <row r="42" spans="1:5" ht="21" customHeight="1">
      <c r="A42" s="785">
        <v>530</v>
      </c>
      <c r="B42" s="469" t="s">
        <v>549</v>
      </c>
      <c r="C42" s="757">
        <v>330</v>
      </c>
      <c r="D42" s="529">
        <f>A42</f>
        <v>530</v>
      </c>
      <c r="E42" s="530">
        <f>C42-D42</f>
        <v>-200</v>
      </c>
    </row>
    <row r="43" spans="1:5" ht="21" customHeight="1">
      <c r="A43" s="785">
        <v>20371</v>
      </c>
      <c r="B43" s="469" t="s">
        <v>584</v>
      </c>
      <c r="C43" s="757">
        <v>16076</v>
      </c>
      <c r="D43" s="529">
        <f>A43+590</f>
        <v>20961</v>
      </c>
      <c r="E43" s="530">
        <f>C43-D43</f>
        <v>-4885</v>
      </c>
    </row>
    <row r="44" spans="1:5" ht="21" customHeight="1">
      <c r="A44" s="785">
        <v>111820</v>
      </c>
      <c r="B44" s="469" t="s">
        <v>586</v>
      </c>
      <c r="C44" s="757">
        <v>104640</v>
      </c>
      <c r="D44" s="529">
        <f>A44+1000</f>
        <v>112820</v>
      </c>
      <c r="E44" s="530">
        <f>C44-D44</f>
        <v>-8180</v>
      </c>
    </row>
    <row r="45" spans="1:5" ht="21" customHeight="1">
      <c r="A45" s="785"/>
      <c r="B45" s="469" t="s">
        <v>588</v>
      </c>
      <c r="C45" s="757">
        <v>0</v>
      </c>
      <c r="D45" s="529">
        <v>0</v>
      </c>
      <c r="E45" s="530">
        <f>C45-D45</f>
        <v>0</v>
      </c>
    </row>
    <row r="46" spans="1:5" ht="21" customHeight="1">
      <c r="A46" s="785">
        <v>3040</v>
      </c>
      <c r="B46" s="469" t="s">
        <v>553</v>
      </c>
      <c r="C46" s="757">
        <v>3883</v>
      </c>
      <c r="D46" s="529">
        <f>A46+1000</f>
        <v>4040</v>
      </c>
      <c r="E46" s="530">
        <f>C46-D46</f>
        <v>-157</v>
      </c>
    </row>
    <row r="47" spans="1:5" ht="20.100000000000001" customHeight="1">
      <c r="A47" s="784">
        <f>A48</f>
        <v>110928</v>
      </c>
      <c r="B47" s="529" t="s">
        <v>592</v>
      </c>
      <c r="C47" s="757">
        <f>SUM(C48:C48)</f>
        <v>113000</v>
      </c>
      <c r="D47" s="529">
        <f>SUM(D48:D48)</f>
        <v>110928</v>
      </c>
      <c r="E47" s="530">
        <f>SUM(E48:E48)</f>
        <v>2072</v>
      </c>
    </row>
    <row r="48" spans="1:5" ht="21" customHeight="1">
      <c r="A48" s="785">
        <v>110928</v>
      </c>
      <c r="B48" s="469" t="s">
        <v>554</v>
      </c>
      <c r="C48" s="773">
        <v>113000</v>
      </c>
      <c r="D48" s="469">
        <f>A48</f>
        <v>110928</v>
      </c>
      <c r="E48" s="530">
        <f>C48-D48</f>
        <v>2072</v>
      </c>
    </row>
    <row r="49" spans="1:5" ht="21" customHeight="1">
      <c r="A49" s="785"/>
      <c r="B49" s="469"/>
      <c r="C49" s="469"/>
      <c r="D49" s="469"/>
      <c r="E49" s="530"/>
    </row>
    <row r="50" spans="1:5" ht="20.100000000000001" customHeight="1">
      <c r="A50" s="784">
        <f>A51</f>
        <v>19392</v>
      </c>
      <c r="B50" s="529" t="s">
        <v>595</v>
      </c>
      <c r="C50" s="757">
        <f>C51</f>
        <v>19442</v>
      </c>
      <c r="D50" s="529">
        <f>D51</f>
        <v>18892</v>
      </c>
      <c r="E50" s="530">
        <f>E51</f>
        <v>550</v>
      </c>
    </row>
    <row r="51" spans="1:5" ht="20.100000000000001" customHeight="1">
      <c r="A51" s="784">
        <v>19392</v>
      </c>
      <c r="B51" s="529" t="s">
        <v>596</v>
      </c>
      <c r="C51" s="757">
        <f>C52+C53</f>
        <v>19442</v>
      </c>
      <c r="D51" s="529">
        <f>D52+D53</f>
        <v>18892</v>
      </c>
      <c r="E51" s="530">
        <f>E52+E53</f>
        <v>550</v>
      </c>
    </row>
    <row r="52" spans="1:5" ht="21" customHeight="1">
      <c r="A52" s="785">
        <v>12554</v>
      </c>
      <c r="B52" s="469" t="s">
        <v>597</v>
      </c>
      <c r="C52" s="757">
        <v>12200</v>
      </c>
      <c r="D52" s="529">
        <f>A52-1000</f>
        <v>11554</v>
      </c>
      <c r="E52" s="530">
        <f>C52-D52</f>
        <v>646</v>
      </c>
    </row>
    <row r="53" spans="1:5" ht="21" customHeight="1">
      <c r="A53" s="785">
        <v>6838</v>
      </c>
      <c r="B53" s="469" t="s">
        <v>598</v>
      </c>
      <c r="C53" s="757">
        <v>7242</v>
      </c>
      <c r="D53" s="529">
        <f>A53+500</f>
        <v>7338</v>
      </c>
      <c r="E53" s="530">
        <f>C53-D53</f>
        <v>-96</v>
      </c>
    </row>
    <row r="54" spans="1:5" ht="21" customHeight="1">
      <c r="A54" s="503"/>
      <c r="B54" s="469"/>
      <c r="C54" s="529"/>
      <c r="D54" s="529"/>
      <c r="E54" s="530"/>
    </row>
    <row r="55" spans="1:5" ht="21" customHeight="1">
      <c r="A55" s="503"/>
      <c r="B55" s="469"/>
      <c r="C55" s="529"/>
      <c r="D55" s="529"/>
      <c r="E55" s="530"/>
    </row>
    <row r="56" spans="1:5" ht="21" customHeight="1">
      <c r="A56" s="503"/>
      <c r="B56" s="469"/>
      <c r="C56" s="529"/>
      <c r="D56" s="529"/>
      <c r="E56" s="530"/>
    </row>
    <row r="57" spans="1:5" ht="21" customHeight="1">
      <c r="A57" s="505"/>
      <c r="B57" s="468"/>
      <c r="C57" s="468"/>
      <c r="D57" s="468"/>
      <c r="E57" s="538"/>
    </row>
    <row r="58" spans="1:5" ht="20.100000000000001" customHeight="1">
      <c r="A58" s="788">
        <f>A59+A63+A67</f>
        <v>228395</v>
      </c>
      <c r="B58" s="535" t="s">
        <v>471</v>
      </c>
      <c r="C58" s="767">
        <f>C59+C63+C67</f>
        <v>247729</v>
      </c>
      <c r="D58" s="767">
        <f>D59+D63+D67</f>
        <v>237897</v>
      </c>
      <c r="E58" s="537">
        <f>E59+E67</f>
        <v>9832</v>
      </c>
    </row>
    <row r="59" spans="1:5" ht="20.100000000000001" customHeight="1">
      <c r="A59" s="784">
        <f>A60</f>
        <v>127203</v>
      </c>
      <c r="B59" s="529" t="s">
        <v>144</v>
      </c>
      <c r="C59" s="757">
        <f t="shared" ref="C59:E60" si="2">C60</f>
        <v>127203</v>
      </c>
      <c r="D59" s="757">
        <f t="shared" si="2"/>
        <v>127203</v>
      </c>
      <c r="E59" s="530">
        <f t="shared" si="2"/>
        <v>0</v>
      </c>
    </row>
    <row r="60" spans="1:5" ht="20.100000000000001" customHeight="1">
      <c r="A60" s="784">
        <f>A61</f>
        <v>127203</v>
      </c>
      <c r="B60" s="529" t="s">
        <v>145</v>
      </c>
      <c r="C60" s="757">
        <f t="shared" si="2"/>
        <v>127203</v>
      </c>
      <c r="D60" s="757">
        <f t="shared" si="2"/>
        <v>127203</v>
      </c>
      <c r="E60" s="530">
        <f t="shared" si="2"/>
        <v>0</v>
      </c>
    </row>
    <row r="61" spans="1:5" ht="21" customHeight="1">
      <c r="A61" s="785">
        <v>127203</v>
      </c>
      <c r="B61" s="469" t="s">
        <v>146</v>
      </c>
      <c r="C61" s="773">
        <v>127203</v>
      </c>
      <c r="D61" s="773">
        <f>A61</f>
        <v>127203</v>
      </c>
      <c r="E61" s="530">
        <f>C61-D61</f>
        <v>0</v>
      </c>
    </row>
    <row r="62" spans="1:5" ht="21" customHeight="1">
      <c r="A62" s="785"/>
      <c r="B62" s="469"/>
      <c r="C62" s="773"/>
      <c r="D62" s="773"/>
      <c r="E62" s="530"/>
    </row>
    <row r="63" spans="1:5" ht="21" customHeight="1">
      <c r="A63" s="784">
        <f>A64</f>
        <v>160</v>
      </c>
      <c r="B63" s="529" t="s">
        <v>869</v>
      </c>
      <c r="C63" s="773">
        <f>C64</f>
        <v>160</v>
      </c>
      <c r="D63" s="773">
        <f>D64</f>
        <v>160</v>
      </c>
      <c r="E63" s="530"/>
    </row>
    <row r="64" spans="1:5" ht="21" customHeight="1">
      <c r="A64" s="784">
        <f>A65</f>
        <v>160</v>
      </c>
      <c r="B64" s="529" t="s">
        <v>870</v>
      </c>
      <c r="C64" s="773">
        <f>C65</f>
        <v>160</v>
      </c>
      <c r="D64" s="773">
        <f>D65</f>
        <v>160</v>
      </c>
      <c r="E64" s="530"/>
    </row>
    <row r="65" spans="1:5" ht="21" customHeight="1">
      <c r="A65" s="785">
        <v>160</v>
      </c>
      <c r="B65" s="539" t="s">
        <v>871</v>
      </c>
      <c r="C65" s="773">
        <v>160</v>
      </c>
      <c r="D65" s="773">
        <v>160</v>
      </c>
      <c r="E65" s="530"/>
    </row>
    <row r="66" spans="1:5" ht="21" customHeight="1">
      <c r="A66" s="785"/>
      <c r="B66" s="469"/>
      <c r="C66" s="469"/>
      <c r="D66" s="773"/>
      <c r="E66" s="530"/>
    </row>
    <row r="67" spans="1:5" ht="20.100000000000001" customHeight="1">
      <c r="A67" s="784">
        <f>A68</f>
        <v>101032</v>
      </c>
      <c r="B67" s="529" t="s">
        <v>603</v>
      </c>
      <c r="C67" s="757">
        <f>C68</f>
        <v>120366</v>
      </c>
      <c r="D67" s="757">
        <f>D68</f>
        <v>110534</v>
      </c>
      <c r="E67" s="530">
        <f>E68</f>
        <v>9832</v>
      </c>
    </row>
    <row r="68" spans="1:5" ht="20.100000000000001" customHeight="1">
      <c r="A68" s="784">
        <f>SUM(A69)</f>
        <v>101032</v>
      </c>
      <c r="B68" s="529" t="s">
        <v>147</v>
      </c>
      <c r="C68" s="757">
        <f>SUM(C69)</f>
        <v>120366</v>
      </c>
      <c r="D68" s="757">
        <f>SUM(D69)</f>
        <v>110534</v>
      </c>
      <c r="E68" s="530">
        <f>SUM(E69)</f>
        <v>9832</v>
      </c>
    </row>
    <row r="69" spans="1:5" ht="21" customHeight="1">
      <c r="A69" s="786">
        <v>101032</v>
      </c>
      <c r="B69" s="539" t="s">
        <v>148</v>
      </c>
      <c r="C69" s="812">
        <f>D69+9832</f>
        <v>120366</v>
      </c>
      <c r="D69" s="790">
        <f>A69+9502</f>
        <v>110534</v>
      </c>
      <c r="E69" s="530">
        <f>C69-D69</f>
        <v>9832</v>
      </c>
    </row>
    <row r="70" spans="1:5" ht="21" customHeight="1">
      <c r="A70" s="786"/>
      <c r="B70" s="539"/>
      <c r="C70" s="539"/>
      <c r="D70" s="539"/>
      <c r="E70" s="530"/>
    </row>
    <row r="71" spans="1:5" ht="20.100000000000001" customHeight="1" thickBot="1">
      <c r="A71" s="789">
        <f>A39+A58</f>
        <v>494476</v>
      </c>
      <c r="B71" s="540" t="s">
        <v>610</v>
      </c>
      <c r="C71" s="541">
        <f>C39+C58</f>
        <v>505100</v>
      </c>
      <c r="D71" s="541">
        <f>D39+D58</f>
        <v>506068</v>
      </c>
      <c r="E71" s="542">
        <f>E39+E58</f>
        <v>-968</v>
      </c>
    </row>
    <row r="72" spans="1:5">
      <c r="A72" s="794" t="s">
        <v>1054</v>
      </c>
      <c r="B72" s="795"/>
      <c r="C72" s="794"/>
      <c r="D72" s="795"/>
      <c r="E72" s="794"/>
    </row>
  </sheetData>
  <mergeCells count="5">
    <mergeCell ref="A1:E1"/>
    <mergeCell ref="A2:E2"/>
    <mergeCell ref="A3:E3"/>
    <mergeCell ref="A4:E4"/>
    <mergeCell ref="A5:E5"/>
  </mergeCells>
  <phoneticPr fontId="14" type="noConversion"/>
  <printOptions horizontalCentered="1"/>
  <pageMargins left="0.6692913385826772" right="0.6692913385826772" top="0.59055118110236227" bottom="0.59055118110236227" header="0.51181102362204722" footer="0.51181102362204722"/>
  <pageSetup paperSize="9" scale="87" firstPageNumber="36" orientation="portrait" blackAndWhite="1" useFirstPageNumber="1" r:id="rId1"/>
  <headerFooter alignWithMargins="0">
    <oddFooter>&amp;C&amp;"Arial Unicode MS,標準"&amp;P</oddFooter>
  </headerFooter>
  <legacyDrawing r:id="rId2"/>
</worksheet>
</file>

<file path=xl/worksheets/sheet39.xml><?xml version="1.0" encoding="utf-8"?>
<worksheet xmlns="http://schemas.openxmlformats.org/spreadsheetml/2006/main" xmlns:r="http://schemas.openxmlformats.org/officeDocument/2006/relationships">
  <sheetPr codeName="Sheet40"/>
  <dimension ref="A1:J35"/>
  <sheetViews>
    <sheetView topLeftCell="A13" workbookViewId="0">
      <selection activeCell="B47" sqref="B47"/>
    </sheetView>
  </sheetViews>
  <sheetFormatPr defaultColWidth="9" defaultRowHeight="16.2"/>
  <cols>
    <col min="1" max="1" width="19.44140625" style="1" customWidth="1"/>
    <col min="2" max="2" width="5.88671875" style="1" customWidth="1"/>
    <col min="3" max="3" width="9.109375" style="1" customWidth="1"/>
    <col min="4" max="4" width="11.33203125" style="1" customWidth="1"/>
    <col min="5" max="5" width="10.77734375" style="1" customWidth="1"/>
    <col min="6" max="6" width="34.6640625" style="1" customWidth="1"/>
    <col min="7" max="16384" width="9" style="1"/>
  </cols>
  <sheetData>
    <row r="1" spans="1:10" ht="24.6">
      <c r="A1" s="957" t="s">
        <v>391</v>
      </c>
      <c r="B1" s="957"/>
      <c r="C1" s="957"/>
      <c r="D1" s="957"/>
      <c r="E1" s="957"/>
      <c r="F1" s="957"/>
      <c r="G1" s="3"/>
      <c r="H1" s="3"/>
      <c r="I1" s="3"/>
      <c r="J1" s="3"/>
    </row>
    <row r="2" spans="1:10" ht="22.2">
      <c r="A2" s="958" t="s">
        <v>392</v>
      </c>
      <c r="B2" s="958"/>
      <c r="C2" s="958"/>
      <c r="D2" s="958"/>
      <c r="E2" s="958"/>
      <c r="F2" s="958"/>
      <c r="G2" s="4"/>
      <c r="H2" s="4"/>
      <c r="I2" s="4"/>
      <c r="J2" s="4"/>
    </row>
    <row r="3" spans="1:10" ht="22.2">
      <c r="A3" s="959" t="s">
        <v>393</v>
      </c>
      <c r="B3" s="959"/>
      <c r="C3" s="959"/>
      <c r="D3" s="959"/>
      <c r="E3" s="959"/>
      <c r="F3" s="959"/>
      <c r="G3" s="5"/>
      <c r="H3" s="5"/>
      <c r="I3" s="5"/>
      <c r="J3" s="5"/>
    </row>
    <row r="4" spans="1:10" s="170" customFormat="1" ht="19.8">
      <c r="A4" s="960" t="s">
        <v>1066</v>
      </c>
      <c r="B4" s="960"/>
      <c r="C4" s="960"/>
      <c r="D4" s="960"/>
      <c r="E4" s="960"/>
      <c r="F4" s="960"/>
      <c r="G4" s="5"/>
      <c r="H4" s="5"/>
      <c r="I4" s="5"/>
      <c r="J4" s="5"/>
    </row>
    <row r="5" spans="1:10" ht="16.8" thickBot="1">
      <c r="A5" s="3"/>
      <c r="B5" s="3"/>
      <c r="C5" s="3"/>
      <c r="D5" s="3"/>
      <c r="F5" s="11" t="s">
        <v>672</v>
      </c>
      <c r="G5" s="3"/>
    </row>
    <row r="6" spans="1:10" ht="42" customHeight="1">
      <c r="A6" s="179" t="s">
        <v>91</v>
      </c>
      <c r="B6" s="180" t="s">
        <v>93</v>
      </c>
      <c r="C6" s="180" t="s">
        <v>94</v>
      </c>
      <c r="D6" s="303" t="s">
        <v>398</v>
      </c>
      <c r="E6" s="180" t="s">
        <v>92</v>
      </c>
      <c r="F6" s="304" t="s">
        <v>394</v>
      </c>
    </row>
    <row r="7" spans="1:10" s="408" customFormat="1" ht="33" customHeight="1">
      <c r="A7" s="331" t="s">
        <v>56</v>
      </c>
      <c r="B7" s="441" t="s">
        <v>888</v>
      </c>
      <c r="C7" s="930">
        <f>C8</f>
        <v>477411</v>
      </c>
      <c r="D7" s="931">
        <f>D8</f>
        <v>1282.8925181866357</v>
      </c>
      <c r="E7" s="951">
        <f>SUM(E8:E9)</f>
        <v>612467</v>
      </c>
      <c r="F7" s="443" t="s">
        <v>158</v>
      </c>
    </row>
    <row r="8" spans="1:10" s="27" customFormat="1" ht="33" customHeight="1">
      <c r="A8" s="299" t="s">
        <v>726</v>
      </c>
      <c r="B8" s="441" t="s">
        <v>881</v>
      </c>
      <c r="C8" s="599">
        <f>'19.勞務收入明細'!D8</f>
        <v>477411</v>
      </c>
      <c r="D8" s="706">
        <f>(E8/C8)*1000</f>
        <v>1282.8925181866357</v>
      </c>
      <c r="E8" s="932">
        <f>'15.收支預計表'!D16</f>
        <v>612467</v>
      </c>
      <c r="F8" s="1225" t="s">
        <v>941</v>
      </c>
    </row>
    <row r="9" spans="1:10" s="27" customFormat="1">
      <c r="A9" s="300"/>
      <c r="B9" s="261"/>
      <c r="C9" s="598"/>
      <c r="D9" s="705"/>
      <c r="E9" s="601"/>
      <c r="F9" s="1226"/>
    </row>
    <row r="10" spans="1:10" s="27" customFormat="1">
      <c r="A10" s="333"/>
      <c r="B10" s="260"/>
      <c r="C10" s="599"/>
      <c r="D10" s="706"/>
      <c r="E10" s="602"/>
      <c r="F10" s="330"/>
    </row>
    <row r="11" spans="1:10" s="408" customFormat="1" ht="33" customHeight="1">
      <c r="A11" s="328" t="s">
        <v>57</v>
      </c>
      <c r="B11" s="441" t="s">
        <v>881</v>
      </c>
      <c r="C11" s="930">
        <f>C12</f>
        <v>500824</v>
      </c>
      <c r="D11" s="931">
        <f>D12</f>
        <v>1289.8682970464674</v>
      </c>
      <c r="E11" s="933">
        <f>SUM(E12:E13)</f>
        <v>645997</v>
      </c>
      <c r="F11" s="445"/>
    </row>
    <row r="12" spans="1:10" s="27" customFormat="1" ht="33" customHeight="1">
      <c r="A12" s="299" t="s">
        <v>727</v>
      </c>
      <c r="B12" s="441" t="s">
        <v>881</v>
      </c>
      <c r="C12" s="599">
        <v>500824</v>
      </c>
      <c r="D12" s="706">
        <f>(E12/C12)*1000</f>
        <v>1289.8682970464674</v>
      </c>
      <c r="E12" s="932">
        <f>646803-806</f>
        <v>645997</v>
      </c>
      <c r="F12" s="1225" t="s">
        <v>90</v>
      </c>
    </row>
    <row r="13" spans="1:10" s="27" customFormat="1" ht="33" customHeight="1">
      <c r="A13" s="300"/>
      <c r="B13" s="261"/>
      <c r="C13" s="598"/>
      <c r="D13" s="705"/>
      <c r="E13" s="601"/>
      <c r="F13" s="1226"/>
    </row>
    <row r="14" spans="1:10" s="408" customFormat="1" ht="33" customHeight="1">
      <c r="A14" s="328" t="s">
        <v>512</v>
      </c>
      <c r="B14" s="441" t="s">
        <v>881</v>
      </c>
      <c r="C14" s="930">
        <f>C15</f>
        <v>502894</v>
      </c>
      <c r="D14" s="931">
        <f>D15</f>
        <v>1178.9343281089057</v>
      </c>
      <c r="E14" s="933">
        <f>SUM(E15:E16)</f>
        <v>592879</v>
      </c>
      <c r="F14" s="445"/>
    </row>
    <row r="15" spans="1:10" s="27" customFormat="1" ht="33" customHeight="1">
      <c r="A15" s="299" t="s">
        <v>727</v>
      </c>
      <c r="B15" s="441" t="s">
        <v>881</v>
      </c>
      <c r="C15" s="599">
        <v>502894</v>
      </c>
      <c r="D15" s="706">
        <f>(E15/C15)*1000</f>
        <v>1178.9343281089057</v>
      </c>
      <c r="E15" s="932">
        <v>592879</v>
      </c>
      <c r="F15" s="1225" t="s">
        <v>941</v>
      </c>
    </row>
    <row r="16" spans="1:10" ht="33" customHeight="1">
      <c r="A16" s="299"/>
      <c r="B16" s="260"/>
      <c r="C16" s="598"/>
      <c r="D16" s="705"/>
      <c r="E16" s="603"/>
      <c r="F16" s="1226"/>
    </row>
    <row r="17" spans="1:6" ht="33" customHeight="1">
      <c r="A17" s="328" t="s">
        <v>1067</v>
      </c>
      <c r="B17" s="441" t="s">
        <v>881</v>
      </c>
      <c r="C17" s="930">
        <f>C18</f>
        <v>538237</v>
      </c>
      <c r="D17" s="931">
        <f>D18</f>
        <v>1206.1266691067319</v>
      </c>
      <c r="E17" s="933">
        <f>SUM(E18:E19)</f>
        <v>649182</v>
      </c>
      <c r="F17" s="445"/>
    </row>
    <row r="18" spans="1:6" ht="33" customHeight="1">
      <c r="A18" s="299" t="s">
        <v>726</v>
      </c>
      <c r="B18" s="441" t="s">
        <v>881</v>
      </c>
      <c r="C18" s="599">
        <v>538237</v>
      </c>
      <c r="D18" s="706">
        <f>(E18/C18)*1000</f>
        <v>1206.1266691067319</v>
      </c>
      <c r="E18" s="932">
        <v>649182</v>
      </c>
      <c r="F18" s="1225" t="s">
        <v>90</v>
      </c>
    </row>
    <row r="19" spans="1:6" ht="33" customHeight="1">
      <c r="A19" s="302"/>
      <c r="B19" s="8"/>
      <c r="C19" s="600"/>
      <c r="D19" s="707"/>
      <c r="E19" s="604"/>
      <c r="F19" s="1226"/>
    </row>
    <row r="20" spans="1:6" s="408" customFormat="1" ht="33" customHeight="1">
      <c r="A20" s="328" t="s">
        <v>1068</v>
      </c>
      <c r="B20" s="441" t="s">
        <v>881</v>
      </c>
      <c r="C20" s="930">
        <f>C21</f>
        <v>688452</v>
      </c>
      <c r="D20" s="931">
        <f>D21</f>
        <v>1068.5392736167519</v>
      </c>
      <c r="E20" s="933">
        <f>SUM(E21:E22)</f>
        <v>735638</v>
      </c>
      <c r="F20" s="445"/>
    </row>
    <row r="21" spans="1:6" s="27" customFormat="1" ht="33" customHeight="1">
      <c r="A21" s="299" t="s">
        <v>727</v>
      </c>
      <c r="B21" s="441" t="s">
        <v>881</v>
      </c>
      <c r="C21" s="599">
        <v>688452</v>
      </c>
      <c r="D21" s="706">
        <f>(E21/C21)*1000</f>
        <v>1068.5392736167519</v>
      </c>
      <c r="E21" s="932">
        <v>735638</v>
      </c>
      <c r="F21" s="1225" t="s">
        <v>751</v>
      </c>
    </row>
    <row r="22" spans="1:6" ht="16.5" customHeight="1">
      <c r="A22" s="302"/>
      <c r="B22" s="8"/>
      <c r="C22" s="596"/>
      <c r="D22" s="10"/>
      <c r="E22" s="262"/>
      <c r="F22" s="1226"/>
    </row>
    <row r="23" spans="1:6" ht="16.5" customHeight="1">
      <c r="A23" s="301"/>
      <c r="B23" s="259"/>
      <c r="C23" s="596"/>
      <c r="D23" s="10"/>
      <c r="E23" s="326"/>
      <c r="F23" s="19"/>
    </row>
    <row r="24" spans="1:6" ht="16.5" customHeight="1">
      <c r="A24" s="299"/>
      <c r="B24" s="260"/>
      <c r="C24" s="595"/>
      <c r="D24" s="23"/>
      <c r="E24" s="327"/>
      <c r="F24" s="19"/>
    </row>
    <row r="25" spans="1:6" ht="16.5" customHeight="1">
      <c r="A25" s="263"/>
      <c r="B25" s="259"/>
      <c r="C25" s="596"/>
      <c r="D25" s="10"/>
      <c r="E25" s="262"/>
      <c r="F25" s="19"/>
    </row>
    <row r="26" spans="1:6" ht="16.5" customHeight="1">
      <c r="A26" s="263"/>
      <c r="B26" s="259"/>
      <c r="C26" s="596"/>
      <c r="D26" s="10"/>
      <c r="E26" s="262"/>
      <c r="F26" s="19"/>
    </row>
    <row r="27" spans="1:6" ht="16.5" customHeight="1">
      <c r="A27" s="263"/>
      <c r="B27" s="259"/>
      <c r="C27" s="596"/>
      <c r="D27" s="10"/>
      <c r="E27" s="262"/>
      <c r="F27" s="19"/>
    </row>
    <row r="28" spans="1:6" ht="16.5" customHeight="1">
      <c r="A28" s="181"/>
      <c r="B28" s="8"/>
      <c r="C28" s="596"/>
      <c r="D28" s="10"/>
      <c r="E28" s="7"/>
      <c r="F28" s="19"/>
    </row>
    <row r="29" spans="1:6" ht="16.5" customHeight="1">
      <c r="A29" s="182"/>
      <c r="B29" s="10"/>
      <c r="C29" s="596"/>
      <c r="D29" s="10"/>
      <c r="E29" s="7"/>
      <c r="F29" s="19"/>
    </row>
    <row r="30" spans="1:6" ht="16.5" customHeight="1">
      <c r="A30" s="182"/>
      <c r="B30" s="10"/>
      <c r="C30" s="596"/>
      <c r="D30" s="10"/>
      <c r="E30" s="7"/>
      <c r="F30" s="19"/>
    </row>
    <row r="31" spans="1:6" ht="16.5" customHeight="1">
      <c r="A31" s="182"/>
      <c r="B31" s="10"/>
      <c r="C31" s="596"/>
      <c r="D31" s="10"/>
      <c r="E31" s="7"/>
      <c r="F31" s="19"/>
    </row>
    <row r="32" spans="1:6" ht="16.5" customHeight="1">
      <c r="A32" s="181"/>
      <c r="B32" s="20"/>
      <c r="C32" s="596"/>
      <c r="D32" s="10"/>
      <c r="E32" s="7"/>
      <c r="F32" s="19"/>
    </row>
    <row r="33" spans="1:6" ht="21.6" customHeight="1" thickBot="1">
      <c r="A33" s="102"/>
      <c r="B33" s="17"/>
      <c r="C33" s="597"/>
      <c r="D33" s="17"/>
      <c r="E33" s="26"/>
      <c r="F33" s="28"/>
    </row>
    <row r="35" spans="1:6">
      <c r="D35" s="3"/>
    </row>
  </sheetData>
  <mergeCells count="9">
    <mergeCell ref="A1:F1"/>
    <mergeCell ref="A2:F2"/>
    <mergeCell ref="A3:F3"/>
    <mergeCell ref="A4:F4"/>
    <mergeCell ref="F21:F22"/>
    <mergeCell ref="F15:F16"/>
    <mergeCell ref="F12:F13"/>
    <mergeCell ref="F8:F9"/>
    <mergeCell ref="F18:F19"/>
  </mergeCells>
  <phoneticPr fontId="8" type="noConversion"/>
  <printOptions horizontalCentered="1"/>
  <pageMargins left="0.6692913385826772" right="0.6692913385826772" top="0.59055118110236227" bottom="0.78740157480314965" header="0.51181102362204722" footer="0.47244094488188981"/>
  <pageSetup paperSize="9" scale="95" firstPageNumber="40" orientation="portrait" blackAndWhite="1" useFirstPageNumber="1" r:id="rId1"/>
  <headerFooter scaleWithDoc="0" alignWithMargins="0">
    <oddFooter>&amp;C&amp;"Arial Unicode MS,標準"&amp;P</oddFooter>
  </headerFooter>
</worksheet>
</file>

<file path=xl/worksheets/sheet4.xml><?xml version="1.0" encoding="utf-8"?>
<worksheet xmlns="http://schemas.openxmlformats.org/spreadsheetml/2006/main" xmlns:r="http://schemas.openxmlformats.org/officeDocument/2006/relationships">
  <sheetPr codeName="Sheet5">
    <tabColor rgb="FFFFFFCC"/>
  </sheetPr>
  <dimension ref="A1:E107"/>
  <sheetViews>
    <sheetView topLeftCell="A28" zoomScaleNormal="100" workbookViewId="0">
      <selection activeCell="F32" sqref="F32"/>
    </sheetView>
  </sheetViews>
  <sheetFormatPr defaultColWidth="23.109375" defaultRowHeight="16.2"/>
  <cols>
    <col min="1" max="1" width="5.21875" customWidth="1"/>
    <col min="2" max="2" width="21.109375" customWidth="1"/>
    <col min="3" max="3" width="15.88671875" customWidth="1"/>
    <col min="4" max="4" width="26.33203125" customWidth="1"/>
    <col min="5" max="5" width="16.21875" customWidth="1"/>
  </cols>
  <sheetData>
    <row r="1" spans="1:5" s="150" customFormat="1" ht="19.5" customHeight="1">
      <c r="B1" s="957" t="s">
        <v>152</v>
      </c>
      <c r="C1" s="957"/>
      <c r="D1" s="957"/>
      <c r="E1" s="957"/>
    </row>
    <row r="2" spans="1:5" s="169" customFormat="1" ht="22.2">
      <c r="B2" s="958" t="s">
        <v>247</v>
      </c>
      <c r="C2" s="958"/>
      <c r="D2" s="958"/>
      <c r="E2" s="958"/>
    </row>
    <row r="3" spans="1:5" s="169" customFormat="1" ht="22.2">
      <c r="B3" s="959" t="s">
        <v>263</v>
      </c>
      <c r="C3" s="959"/>
      <c r="D3" s="959"/>
      <c r="E3" s="959"/>
    </row>
    <row r="4" spans="1:5" s="170" customFormat="1" ht="19.8">
      <c r="B4" s="960" t="s">
        <v>1030</v>
      </c>
      <c r="C4" s="960"/>
      <c r="D4" s="960"/>
      <c r="E4" s="960"/>
    </row>
    <row r="5" spans="1:5" s="170" customFormat="1" ht="19.8">
      <c r="A5" s="5"/>
      <c r="B5" s="5"/>
      <c r="C5" s="5"/>
      <c r="D5" s="5"/>
      <c r="E5" s="5"/>
    </row>
    <row r="6" spans="1:5" s="1" customFormat="1" ht="22.2">
      <c r="B6" s="953" t="s">
        <v>1083</v>
      </c>
      <c r="C6" s="953"/>
      <c r="D6" s="953"/>
      <c r="E6" s="953"/>
    </row>
    <row r="7" spans="1:5" s="1" customFormat="1" ht="22.2">
      <c r="B7" s="966" t="s">
        <v>272</v>
      </c>
      <c r="C7" s="965"/>
      <c r="D7" s="965"/>
      <c r="E7" s="965"/>
    </row>
    <row r="8" spans="1:5" s="1" customFormat="1" ht="17.25" customHeight="1">
      <c r="B8" s="963"/>
      <c r="C8" s="963"/>
      <c r="D8" s="963"/>
      <c r="E8" s="963"/>
    </row>
    <row r="9" spans="1:5" s="1" customFormat="1"/>
    <row r="10" spans="1:5" s="1" customFormat="1"/>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ht="12.6" customHeight="1"/>
    <row r="21" spans="2:5" s="1" customFormat="1" ht="10.5" customHeight="1"/>
    <row r="22" spans="2:5" s="1" customFormat="1" ht="26.25" customHeight="1">
      <c r="B22" s="961" t="s">
        <v>273</v>
      </c>
      <c r="C22" s="968"/>
      <c r="D22" s="968"/>
      <c r="E22" s="968"/>
    </row>
    <row r="23" spans="2:5" s="1" customFormat="1">
      <c r="B23" s="12"/>
      <c r="C23" s="12"/>
      <c r="D23" s="12"/>
    </row>
    <row r="24" spans="2:5" s="1" customFormat="1">
      <c r="B24" s="12"/>
      <c r="C24" s="12"/>
      <c r="D24" s="12"/>
    </row>
    <row r="25" spans="2:5" s="1" customFormat="1">
      <c r="B25" s="12"/>
      <c r="C25" s="12"/>
      <c r="D25" s="12"/>
    </row>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row r="36" spans="2:5" s="1" customFormat="1" ht="20.25" customHeight="1">
      <c r="B36" s="10"/>
      <c r="C36" s="10"/>
      <c r="D36" s="10"/>
      <c r="E36" s="11" t="s">
        <v>248</v>
      </c>
    </row>
    <row r="37" spans="2:5" s="1" customFormat="1" ht="19.05" customHeight="1">
      <c r="B37" s="2" t="s">
        <v>274</v>
      </c>
      <c r="C37" s="14" t="s">
        <v>1082</v>
      </c>
      <c r="D37" s="2" t="s">
        <v>275</v>
      </c>
      <c r="E37" s="14" t="s">
        <v>1082</v>
      </c>
    </row>
    <row r="38" spans="2:5" s="1" customFormat="1" ht="19.05" customHeight="1">
      <c r="B38" s="192" t="s">
        <v>276</v>
      </c>
      <c r="C38" s="206">
        <f>SUM(C39:C40)</f>
        <v>620324</v>
      </c>
      <c r="D38" s="947" t="s">
        <v>1129</v>
      </c>
      <c r="E38" s="948">
        <f>SUM(E39:E40)</f>
        <v>613566</v>
      </c>
    </row>
    <row r="39" spans="2:5" s="1" customFormat="1" ht="19.05" customHeight="1">
      <c r="B39" s="194" t="s">
        <v>277</v>
      </c>
      <c r="C39" s="206">
        <v>619225</v>
      </c>
      <c r="D39" s="343" t="s">
        <v>1130</v>
      </c>
      <c r="E39" s="206">
        <f>'15.收支預計表'!D15</f>
        <v>612467</v>
      </c>
    </row>
    <row r="40" spans="2:5" s="1" customFormat="1" ht="19.05" customHeight="1">
      <c r="B40" s="194" t="s">
        <v>906</v>
      </c>
      <c r="C40" s="206">
        <v>1099</v>
      </c>
      <c r="D40" s="343" t="s">
        <v>1131</v>
      </c>
      <c r="E40" s="206">
        <v>1099</v>
      </c>
    </row>
    <row r="41" spans="2:5" s="1" customFormat="1" ht="19.05" customHeight="1">
      <c r="B41" s="193" t="s">
        <v>279</v>
      </c>
      <c r="C41" s="206">
        <f>SUM(C42:C43)</f>
        <v>3800</v>
      </c>
      <c r="D41" s="351" t="s">
        <v>1132</v>
      </c>
      <c r="E41" s="206">
        <f>E42</f>
        <v>50</v>
      </c>
    </row>
    <row r="42" spans="2:5" s="1" customFormat="1" ht="19.05" customHeight="1">
      <c r="B42" s="194" t="s">
        <v>468</v>
      </c>
      <c r="C42" s="949">
        <v>1800</v>
      </c>
      <c r="D42" s="343" t="s">
        <v>1133</v>
      </c>
      <c r="E42" s="206">
        <v>50</v>
      </c>
    </row>
    <row r="43" spans="2:5" s="1" customFormat="1" ht="19.05" customHeight="1">
      <c r="B43" s="194" t="s">
        <v>908</v>
      </c>
      <c r="C43" s="949">
        <v>2000</v>
      </c>
      <c r="D43" s="351" t="s">
        <v>1134</v>
      </c>
      <c r="E43" s="206">
        <f>'15.收支預計表'!D31</f>
        <v>10508</v>
      </c>
    </row>
    <row r="44" spans="2:5" s="1" customFormat="1" ht="19.05" customHeight="1">
      <c r="B44" s="2" t="s">
        <v>469</v>
      </c>
      <c r="C44" s="946">
        <f>C38+C41</f>
        <v>624124</v>
      </c>
      <c r="D44" s="853" t="s">
        <v>1135</v>
      </c>
      <c r="E44" s="946">
        <f>SUM(E38,E41,E43)</f>
        <v>624124</v>
      </c>
    </row>
    <row r="45" spans="2:5" s="1" customFormat="1" ht="19.05" customHeight="1"/>
    <row r="46" spans="2:5" s="1" customFormat="1">
      <c r="B46" s="93" t="s">
        <v>910</v>
      </c>
      <c r="C46" s="171">
        <f>C39/$C$44-0.0001</f>
        <v>0.99205059827854725</v>
      </c>
      <c r="D46" s="306" t="s">
        <v>278</v>
      </c>
      <c r="E46" s="171">
        <f>E39/$E$44</f>
        <v>0.98132262178669627</v>
      </c>
    </row>
    <row r="47" spans="2:5" s="1" customFormat="1">
      <c r="B47" s="194" t="s">
        <v>912</v>
      </c>
      <c r="C47" s="171">
        <f>C40/$C$44</f>
        <v>1.7608680326345405E-3</v>
      </c>
      <c r="D47" s="194" t="s">
        <v>907</v>
      </c>
      <c r="E47" s="171">
        <f>E40/$E$44</f>
        <v>1.7608680326345405E-3</v>
      </c>
    </row>
    <row r="48" spans="2:5" s="1" customFormat="1">
      <c r="B48" s="93" t="s">
        <v>911</v>
      </c>
      <c r="C48" s="171">
        <f>C42/$C$44</f>
        <v>2.8840422736507491E-3</v>
      </c>
      <c r="D48" s="194" t="s">
        <v>909</v>
      </c>
      <c r="E48" s="171">
        <f>E42/$E$44</f>
        <v>8.0112285379187466E-5</v>
      </c>
    </row>
    <row r="49" spans="2:5" s="1" customFormat="1">
      <c r="B49" s="93" t="s">
        <v>913</v>
      </c>
      <c r="C49" s="171">
        <f>C43/$C$44</f>
        <v>3.2044914151674988E-3</v>
      </c>
      <c r="D49" s="240" t="s">
        <v>397</v>
      </c>
      <c r="E49" s="171">
        <f>E43/$E$44</f>
        <v>1.6836397895290039E-2</v>
      </c>
    </row>
    <row r="50" spans="2:5" s="1" customFormat="1"/>
    <row r="51" spans="2:5" s="1" customFormat="1"/>
    <row r="52" spans="2:5" s="1" customFormat="1"/>
    <row r="53" spans="2:5" s="1" customFormat="1"/>
    <row r="54" spans="2:5" s="1" customFormat="1"/>
    <row r="55" spans="2:5" s="1" customFormat="1"/>
    <row r="56" spans="2:5" s="1" customFormat="1"/>
    <row r="57" spans="2:5" s="1" customFormat="1"/>
    <row r="58" spans="2:5" s="1" customFormat="1"/>
    <row r="59" spans="2:5" s="1" customFormat="1"/>
    <row r="60" spans="2:5" s="1" customFormat="1"/>
    <row r="61" spans="2:5" s="1" customFormat="1"/>
    <row r="62" spans="2:5" s="1" customFormat="1"/>
    <row r="63" spans="2:5" s="1" customFormat="1"/>
    <row r="64" spans="2:5"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c r="B103" s="1"/>
      <c r="C103" s="1"/>
      <c r="D103" s="1"/>
      <c r="E103" s="1"/>
    </row>
    <row r="104" spans="2:5">
      <c r="B104" s="1"/>
      <c r="C104" s="1"/>
      <c r="D104" s="1"/>
      <c r="E104" s="1"/>
    </row>
    <row r="105" spans="2:5">
      <c r="B105" s="1"/>
      <c r="C105" s="1"/>
      <c r="D105" s="1"/>
      <c r="E105" s="1"/>
    </row>
    <row r="106" spans="2:5">
      <c r="B106" s="1"/>
      <c r="C106" s="1"/>
      <c r="D106" s="1"/>
      <c r="E106" s="1"/>
    </row>
    <row r="107" spans="2:5">
      <c r="B107" s="1"/>
      <c r="C107" s="1"/>
      <c r="D107" s="1"/>
      <c r="E107" s="1"/>
    </row>
  </sheetData>
  <mergeCells count="8">
    <mergeCell ref="B22:E22"/>
    <mergeCell ref="B8:E8"/>
    <mergeCell ref="B6:E6"/>
    <mergeCell ref="B7:E7"/>
    <mergeCell ref="B1:E1"/>
    <mergeCell ref="B2:E2"/>
    <mergeCell ref="B3:E3"/>
    <mergeCell ref="B4:E4"/>
  </mergeCells>
  <phoneticPr fontId="2" type="noConversion"/>
  <printOptions horizontalCentered="1"/>
  <pageMargins left="0.98425196850393704" right="0.98425196850393704" top="0.59055118110236227" bottom="0.78740157480314965" header="0.51181102362204722" footer="0.51181102362204722"/>
  <pageSetup paperSize="9" scale="99" firstPageNumber="11" orientation="portrait" blackAndWhite="1" useFirstPageNumber="1" r:id="rId1"/>
  <headerFooter scaleWithDoc="0" alignWithMargins="0">
    <oddFooter>&amp;C&amp;"Arial,標準"&amp;P</oddFooter>
  </headerFooter>
  <drawing r:id="rId2"/>
</worksheet>
</file>

<file path=xl/worksheets/sheet40.xml><?xml version="1.0" encoding="utf-8"?>
<worksheet xmlns="http://schemas.openxmlformats.org/spreadsheetml/2006/main" xmlns:r="http://schemas.openxmlformats.org/officeDocument/2006/relationships">
  <sheetPr codeName="Sheet41" enableFormatConditionsCalculation="0"/>
  <dimension ref="A1:J34"/>
  <sheetViews>
    <sheetView view="pageBreakPreview" zoomScale="60" zoomScaleNormal="100" workbookViewId="0">
      <selection activeCell="E18" sqref="E18"/>
    </sheetView>
  </sheetViews>
  <sheetFormatPr defaultColWidth="9" defaultRowHeight="16.2"/>
  <cols>
    <col min="1" max="1" width="20.21875" style="1" customWidth="1"/>
    <col min="2" max="2" width="5.44140625" style="1" customWidth="1"/>
    <col min="3" max="3" width="12.5546875" style="1" bestFit="1" customWidth="1"/>
    <col min="4" max="4" width="11.21875" style="1" customWidth="1"/>
    <col min="5" max="5" width="12.6640625" style="1" customWidth="1"/>
    <col min="6" max="6" width="34.6640625" style="1" customWidth="1"/>
    <col min="7" max="16384" width="9" style="1"/>
  </cols>
  <sheetData>
    <row r="1" spans="1:10" ht="24.6">
      <c r="A1" s="957" t="s">
        <v>391</v>
      </c>
      <c r="B1" s="957"/>
      <c r="C1" s="957"/>
      <c r="D1" s="957"/>
      <c r="E1" s="957"/>
      <c r="F1" s="957"/>
      <c r="G1" s="3"/>
      <c r="H1" s="3"/>
      <c r="I1" s="3"/>
      <c r="J1" s="3"/>
    </row>
    <row r="2" spans="1:10" ht="22.2">
      <c r="A2" s="958" t="s">
        <v>392</v>
      </c>
      <c r="B2" s="958"/>
      <c r="C2" s="958"/>
      <c r="D2" s="958"/>
      <c r="E2" s="958"/>
      <c r="F2" s="958"/>
      <c r="G2" s="4"/>
      <c r="H2" s="4"/>
      <c r="I2" s="4"/>
      <c r="J2" s="4"/>
    </row>
    <row r="3" spans="1:10" ht="22.2">
      <c r="A3" s="959" t="s">
        <v>393</v>
      </c>
      <c r="B3" s="959"/>
      <c r="C3" s="959"/>
      <c r="D3" s="959"/>
      <c r="E3" s="959"/>
      <c r="F3" s="959"/>
      <c r="G3" s="5"/>
      <c r="H3" s="5"/>
      <c r="I3" s="5"/>
      <c r="J3" s="5"/>
    </row>
    <row r="4" spans="1:10" s="170" customFormat="1" ht="19.8">
      <c r="A4" s="960" t="s">
        <v>867</v>
      </c>
      <c r="B4" s="960"/>
      <c r="C4" s="960"/>
      <c r="D4" s="960"/>
      <c r="E4" s="960"/>
      <c r="F4" s="960"/>
      <c r="G4" s="5"/>
      <c r="H4" s="5"/>
      <c r="I4" s="5"/>
      <c r="J4" s="5"/>
    </row>
    <row r="5" spans="1:10" ht="16.8" thickBot="1">
      <c r="A5" s="3"/>
      <c r="B5" s="3"/>
      <c r="C5" s="3"/>
      <c r="D5" s="3"/>
      <c r="F5" s="11" t="s">
        <v>672</v>
      </c>
      <c r="G5" s="3"/>
    </row>
    <row r="6" spans="1:10" ht="42" customHeight="1">
      <c r="A6" s="179" t="s">
        <v>560</v>
      </c>
      <c r="B6" s="180" t="s">
        <v>561</v>
      </c>
      <c r="C6" s="180" t="s">
        <v>562</v>
      </c>
      <c r="D6" s="303" t="s">
        <v>563</v>
      </c>
      <c r="E6" s="180" t="s">
        <v>564</v>
      </c>
      <c r="F6" s="304" t="s">
        <v>565</v>
      </c>
    </row>
    <row r="7" spans="1:10" s="408" customFormat="1" ht="33" customHeight="1">
      <c r="A7" s="331" t="s">
        <v>56</v>
      </c>
      <c r="B7" s="441" t="s">
        <v>889</v>
      </c>
      <c r="C7" s="608">
        <f>C8</f>
        <v>500824</v>
      </c>
      <c r="D7" s="709">
        <f>D8</f>
        <v>1222.9186300975991</v>
      </c>
      <c r="E7" s="442">
        <f>SUM(E8:E9)</f>
        <v>612467</v>
      </c>
      <c r="F7" s="443" t="s">
        <v>158</v>
      </c>
    </row>
    <row r="8" spans="1:10" s="27" customFormat="1" ht="33" customHeight="1">
      <c r="A8" s="299" t="s">
        <v>727</v>
      </c>
      <c r="B8" s="260" t="s">
        <v>889</v>
      </c>
      <c r="C8" s="605">
        <v>500824</v>
      </c>
      <c r="D8" s="705">
        <f>(E8/C8)*1000</f>
        <v>1222.9186300975991</v>
      </c>
      <c r="E8" s="332">
        <f>'15.收支預計表'!D16</f>
        <v>612467</v>
      </c>
      <c r="F8" s="1225" t="s">
        <v>846</v>
      </c>
    </row>
    <row r="9" spans="1:10" s="27" customFormat="1">
      <c r="A9" s="300"/>
      <c r="B9" s="261"/>
      <c r="C9" s="605"/>
      <c r="D9" s="705"/>
      <c r="E9" s="29"/>
      <c r="F9" s="1226"/>
    </row>
    <row r="10" spans="1:10" s="27" customFormat="1">
      <c r="A10" s="333"/>
      <c r="B10" s="260"/>
      <c r="C10" s="606"/>
      <c r="D10" s="706"/>
      <c r="E10" s="329"/>
      <c r="F10" s="330"/>
    </row>
    <row r="11" spans="1:10" s="408" customFormat="1" ht="33" customHeight="1">
      <c r="A11" s="328" t="s">
        <v>57</v>
      </c>
      <c r="B11" s="441" t="s">
        <v>889</v>
      </c>
      <c r="C11" s="607">
        <f>C12</f>
        <v>550011</v>
      </c>
      <c r="D11" s="704">
        <f>D12</f>
        <v>1288.6069551336245</v>
      </c>
      <c r="E11" s="444">
        <f>SUM(E12:E13)</f>
        <v>708748</v>
      </c>
      <c r="F11" s="445"/>
    </row>
    <row r="12" spans="1:10" s="27" customFormat="1" ht="33" customHeight="1">
      <c r="A12" s="299" t="s">
        <v>727</v>
      </c>
      <c r="B12" s="260" t="s">
        <v>889</v>
      </c>
      <c r="C12" s="605">
        <v>550011</v>
      </c>
      <c r="D12" s="705">
        <f>(E12/C12)*1000</f>
        <v>1288.6069551336245</v>
      </c>
      <c r="E12" s="332">
        <v>708748</v>
      </c>
      <c r="F12" s="1225" t="s">
        <v>90</v>
      </c>
    </row>
    <row r="13" spans="1:10" s="27" customFormat="1" ht="33" customHeight="1">
      <c r="A13" s="300"/>
      <c r="B13" s="261"/>
      <c r="C13" s="605"/>
      <c r="D13" s="705"/>
      <c r="E13" s="29"/>
      <c r="F13" s="1226"/>
    </row>
    <row r="14" spans="1:10" s="408" customFormat="1" ht="33" customHeight="1">
      <c r="A14" s="328" t="s">
        <v>566</v>
      </c>
      <c r="B14" s="441" t="s">
        <v>889</v>
      </c>
      <c r="C14" s="607">
        <v>688452</v>
      </c>
      <c r="D14" s="704">
        <f>(E14/C14)*1000</f>
        <v>1068.5392736167519</v>
      </c>
      <c r="E14" s="444">
        <v>735638</v>
      </c>
      <c r="F14" s="445"/>
    </row>
    <row r="15" spans="1:10" s="27" customFormat="1" ht="33" customHeight="1">
      <c r="A15" s="299" t="s">
        <v>727</v>
      </c>
      <c r="B15" s="260" t="s">
        <v>889</v>
      </c>
      <c r="C15" s="605">
        <v>538237</v>
      </c>
      <c r="D15" s="705">
        <f>(E15/C15)*1000</f>
        <v>1206.1266691067319</v>
      </c>
      <c r="E15" s="332">
        <v>649182</v>
      </c>
      <c r="F15" s="1225" t="s">
        <v>90</v>
      </c>
    </row>
    <row r="16" spans="1:10" ht="33" customHeight="1">
      <c r="A16" s="299"/>
      <c r="B16" s="260"/>
      <c r="C16" s="605"/>
      <c r="D16" s="705"/>
      <c r="E16" s="327"/>
      <c r="F16" s="1226"/>
    </row>
    <row r="17" spans="1:6" ht="33" customHeight="1">
      <c r="A17" s="328" t="s">
        <v>891</v>
      </c>
      <c r="B17" s="441" t="s">
        <v>889</v>
      </c>
      <c r="C17" s="607">
        <f>C18</f>
        <v>688452</v>
      </c>
      <c r="D17" s="704">
        <f>D18</f>
        <v>942.95753371331625</v>
      </c>
      <c r="E17" s="444">
        <f>SUM(E18:E19)</f>
        <v>735638</v>
      </c>
      <c r="F17" s="445"/>
    </row>
    <row r="18" spans="1:6" ht="33" customHeight="1">
      <c r="A18" s="299" t="s">
        <v>726</v>
      </c>
      <c r="B18" s="260" t="s">
        <v>889</v>
      </c>
      <c r="C18" s="605">
        <v>688452</v>
      </c>
      <c r="D18" s="705">
        <v>942.95753371331625</v>
      </c>
      <c r="E18" s="332">
        <v>735638</v>
      </c>
      <c r="F18" s="1225" t="s">
        <v>90</v>
      </c>
    </row>
    <row r="19" spans="1:6" ht="33" customHeight="1">
      <c r="A19" s="299"/>
      <c r="B19" s="260"/>
      <c r="C19" s="605"/>
      <c r="D19" s="705"/>
      <c r="E19" s="327"/>
      <c r="F19" s="1226"/>
    </row>
    <row r="20" spans="1:6" s="408" customFormat="1" ht="33" customHeight="1">
      <c r="A20" s="328" t="s">
        <v>890</v>
      </c>
      <c r="B20" s="441" t="s">
        <v>889</v>
      </c>
      <c r="C20" s="607">
        <f>C21</f>
        <v>794867</v>
      </c>
      <c r="D20" s="704">
        <f>D21</f>
        <v>1012.7115605503814</v>
      </c>
      <c r="E20" s="444">
        <f>SUM(E21:E22)</f>
        <v>804971</v>
      </c>
      <c r="F20" s="445"/>
    </row>
    <row r="21" spans="1:6" s="27" customFormat="1" ht="33" customHeight="1">
      <c r="A21" s="299" t="s">
        <v>727</v>
      </c>
      <c r="B21" s="260" t="s">
        <v>889</v>
      </c>
      <c r="C21" s="605">
        <v>794867</v>
      </c>
      <c r="D21" s="705">
        <f>(E21/C21)*1000</f>
        <v>1012.7115605503814</v>
      </c>
      <c r="E21" s="332">
        <v>804971</v>
      </c>
      <c r="F21" s="1225" t="s">
        <v>90</v>
      </c>
    </row>
    <row r="22" spans="1:6" ht="33" customHeight="1">
      <c r="A22" s="299"/>
      <c r="B22" s="260"/>
      <c r="C22" s="22"/>
      <c r="D22" s="23"/>
      <c r="E22" s="327"/>
      <c r="F22" s="1226"/>
    </row>
    <row r="23" spans="1:6" ht="16.5" customHeight="1">
      <c r="A23" s="302"/>
      <c r="B23" s="8"/>
      <c r="C23" s="8"/>
      <c r="D23" s="10"/>
      <c r="E23" s="262"/>
      <c r="F23" s="19"/>
    </row>
    <row r="24" spans="1:6" ht="16.5" customHeight="1">
      <c r="A24" s="301"/>
      <c r="B24" s="259"/>
      <c r="C24" s="8"/>
      <c r="D24" s="10"/>
      <c r="E24" s="326"/>
      <c r="F24" s="19"/>
    </row>
    <row r="25" spans="1:6" ht="16.5" customHeight="1">
      <c r="A25" s="299"/>
      <c r="B25" s="260"/>
      <c r="C25" s="22"/>
      <c r="D25" s="23"/>
      <c r="E25" s="327"/>
      <c r="F25" s="19"/>
    </row>
    <row r="26" spans="1:6" ht="16.5" customHeight="1">
      <c r="A26" s="182"/>
      <c r="B26" s="10"/>
      <c r="C26" s="8"/>
      <c r="D26" s="10"/>
      <c r="E26" s="7"/>
      <c r="F26" s="19"/>
    </row>
    <row r="27" spans="1:6" ht="16.5" customHeight="1">
      <c r="A27" s="182"/>
      <c r="B27" s="10"/>
      <c r="C27" s="8"/>
      <c r="D27" s="10"/>
      <c r="E27" s="7"/>
      <c r="F27" s="19"/>
    </row>
    <row r="28" spans="1:6" ht="16.5" customHeight="1">
      <c r="A28" s="182"/>
      <c r="B28" s="10"/>
      <c r="C28" s="8"/>
      <c r="D28" s="10"/>
      <c r="E28" s="7"/>
      <c r="F28" s="19"/>
    </row>
    <row r="29" spans="1:6" ht="16.5" customHeight="1">
      <c r="A29" s="182"/>
      <c r="B29" s="10"/>
      <c r="C29" s="8"/>
      <c r="D29" s="10"/>
      <c r="E29" s="7"/>
      <c r="F29" s="19"/>
    </row>
    <row r="30" spans="1:6" ht="16.5" customHeight="1">
      <c r="A30" s="182"/>
      <c r="B30" s="10"/>
      <c r="C30" s="8"/>
      <c r="D30" s="10"/>
      <c r="E30" s="7"/>
      <c r="F30" s="19"/>
    </row>
    <row r="31" spans="1:6" ht="16.5" customHeight="1">
      <c r="A31" s="182"/>
      <c r="B31" s="10"/>
      <c r="C31" s="8"/>
      <c r="D31" s="10"/>
      <c r="E31" s="7"/>
      <c r="F31" s="19"/>
    </row>
    <row r="32" spans="1:6" ht="31.5" customHeight="1" thickBot="1">
      <c r="A32" s="102"/>
      <c r="B32" s="17"/>
      <c r="C32" s="26"/>
      <c r="D32" s="17"/>
      <c r="E32" s="26"/>
      <c r="F32" s="28"/>
    </row>
    <row r="34" spans="4:4">
      <c r="D34" s="3"/>
    </row>
  </sheetData>
  <mergeCells count="9">
    <mergeCell ref="A1:F1"/>
    <mergeCell ref="A2:F2"/>
    <mergeCell ref="A3:F3"/>
    <mergeCell ref="A4:F4"/>
    <mergeCell ref="F21:F22"/>
    <mergeCell ref="F15:F16"/>
    <mergeCell ref="F12:F13"/>
    <mergeCell ref="F8:F9"/>
    <mergeCell ref="F18:F19"/>
  </mergeCells>
  <phoneticPr fontId="8" type="noConversion"/>
  <printOptions horizontalCentered="1"/>
  <pageMargins left="0.6692913385826772" right="0.6692913385826772" top="0.59055118110236227" bottom="0.78740157480314965" header="0.51181102362204722" footer="0.47244094488188981"/>
  <pageSetup paperSize="9" scale="91" firstPageNumber="36" orientation="portrait" useFirstPageNumber="1" r:id="rId1"/>
  <headerFooter alignWithMargins="0">
    <oddFooter>&amp;C&amp;"Arial Unicode MS,標準"&amp;P</oddFooter>
  </headerFooter>
</worksheet>
</file>

<file path=xl/worksheets/sheet41.xml><?xml version="1.0" encoding="utf-8"?>
<worksheet xmlns="http://schemas.openxmlformats.org/spreadsheetml/2006/main" xmlns:r="http://schemas.openxmlformats.org/officeDocument/2006/relationships">
  <sheetPr codeName="Sheet49">
    <tabColor rgb="FFFFFFCC"/>
  </sheetPr>
  <dimension ref="A1:E33"/>
  <sheetViews>
    <sheetView topLeftCell="A19" workbookViewId="0">
      <selection activeCell="B47" sqref="B47"/>
    </sheetView>
  </sheetViews>
  <sheetFormatPr defaultRowHeight="16.2"/>
  <cols>
    <col min="1" max="1" width="18.77734375" customWidth="1"/>
    <col min="2" max="2" width="16.77734375" customWidth="1"/>
    <col min="3" max="3" width="17" customWidth="1"/>
    <col min="4" max="4" width="16.6640625" customWidth="1"/>
    <col min="5" max="5" width="18.6640625" customWidth="1"/>
  </cols>
  <sheetData>
    <row r="1" spans="1:5" ht="24.6">
      <c r="A1" s="957" t="s">
        <v>760</v>
      </c>
      <c r="B1" s="957"/>
      <c r="C1" s="957"/>
      <c r="D1" s="957"/>
      <c r="E1" s="957"/>
    </row>
    <row r="2" spans="1:5" ht="22.2">
      <c r="A2" s="958" t="s">
        <v>761</v>
      </c>
      <c r="B2" s="958"/>
      <c r="C2" s="958"/>
      <c r="D2" s="958"/>
      <c r="E2" s="958"/>
    </row>
    <row r="3" spans="1:5" ht="22.2">
      <c r="A3" s="959" t="s">
        <v>762</v>
      </c>
      <c r="B3" s="959"/>
      <c r="C3" s="959"/>
      <c r="D3" s="959"/>
      <c r="E3" s="959"/>
    </row>
    <row r="4" spans="1:5" ht="19.8">
      <c r="A4" s="960" t="s">
        <v>1069</v>
      </c>
      <c r="B4" s="960"/>
      <c r="C4" s="960"/>
      <c r="D4" s="960"/>
      <c r="E4" s="960"/>
    </row>
    <row r="5" spans="1:5" ht="16.8" thickBot="1">
      <c r="A5" s="3"/>
      <c r="B5" s="3"/>
      <c r="C5" s="3"/>
      <c r="D5" s="1"/>
      <c r="E5" s="11" t="s">
        <v>763</v>
      </c>
    </row>
    <row r="6" spans="1:5" ht="41.25" customHeight="1">
      <c r="A6" s="584" t="s">
        <v>764</v>
      </c>
      <c r="B6" s="585" t="s">
        <v>765</v>
      </c>
      <c r="C6" s="585" t="s">
        <v>766</v>
      </c>
      <c r="D6" s="585" t="s">
        <v>767</v>
      </c>
      <c r="E6" s="586" t="s">
        <v>768</v>
      </c>
    </row>
    <row r="7" spans="1:5" ht="25.05" customHeight="1">
      <c r="A7" s="399"/>
      <c r="B7" s="587"/>
      <c r="C7" s="587"/>
      <c r="D7" s="587"/>
      <c r="E7" s="588"/>
    </row>
    <row r="8" spans="1:5" ht="25.05" customHeight="1">
      <c r="A8" s="399"/>
      <c r="B8" s="587"/>
      <c r="C8" s="587"/>
      <c r="D8" s="587"/>
      <c r="E8" s="588"/>
    </row>
    <row r="9" spans="1:5" ht="25.05" customHeight="1">
      <c r="A9" s="399"/>
      <c r="B9" s="587"/>
      <c r="C9" s="587"/>
      <c r="D9" s="587"/>
      <c r="E9" s="588"/>
    </row>
    <row r="10" spans="1:5" ht="25.05" customHeight="1">
      <c r="A10" s="399"/>
      <c r="B10" s="587"/>
      <c r="C10" s="587"/>
      <c r="D10" s="587"/>
      <c r="E10" s="588"/>
    </row>
    <row r="11" spans="1:5" ht="25.05" customHeight="1">
      <c r="A11" s="399"/>
      <c r="B11" s="587"/>
      <c r="C11" s="587"/>
      <c r="D11" s="587"/>
      <c r="E11" s="588"/>
    </row>
    <row r="12" spans="1:5" ht="25.05" customHeight="1">
      <c r="A12" s="399"/>
      <c r="B12" s="587"/>
      <c r="C12" s="587"/>
      <c r="D12" s="587"/>
      <c r="E12" s="588"/>
    </row>
    <row r="13" spans="1:5" ht="25.05" customHeight="1">
      <c r="A13" s="399"/>
      <c r="B13" s="587"/>
      <c r="C13" s="587"/>
      <c r="D13" s="587"/>
      <c r="E13" s="588"/>
    </row>
    <row r="14" spans="1:5" ht="25.05" customHeight="1">
      <c r="A14" s="399"/>
      <c r="B14" s="587"/>
      <c r="C14" s="587"/>
      <c r="D14" s="587"/>
      <c r="E14" s="588"/>
    </row>
    <row r="15" spans="1:5" ht="25.05" customHeight="1">
      <c r="A15" s="399"/>
      <c r="B15" s="587"/>
      <c r="C15" s="587"/>
      <c r="D15" s="587"/>
      <c r="E15" s="588"/>
    </row>
    <row r="16" spans="1:5" ht="25.05" customHeight="1">
      <c r="A16" s="399"/>
      <c r="B16" s="587"/>
      <c r="C16" s="587"/>
      <c r="D16" s="587"/>
      <c r="E16" s="588"/>
    </row>
    <row r="17" spans="1:5" ht="25.05" customHeight="1">
      <c r="A17" s="399"/>
      <c r="B17" s="587"/>
      <c r="C17" s="587"/>
      <c r="D17" s="587"/>
      <c r="E17" s="588"/>
    </row>
    <row r="18" spans="1:5" ht="25.05" customHeight="1">
      <c r="A18" s="399"/>
      <c r="B18" s="587"/>
      <c r="C18" s="587"/>
      <c r="D18" s="587"/>
      <c r="E18" s="588"/>
    </row>
    <row r="19" spans="1:5" ht="25.05" customHeight="1">
      <c r="A19" s="399"/>
      <c r="B19" s="587"/>
      <c r="C19" s="587"/>
      <c r="D19" s="587"/>
      <c r="E19" s="588"/>
    </row>
    <row r="20" spans="1:5" ht="25.05" customHeight="1">
      <c r="A20" s="399"/>
      <c r="B20" s="587"/>
      <c r="C20" s="587"/>
      <c r="D20" s="587"/>
      <c r="E20" s="588"/>
    </row>
    <row r="21" spans="1:5" ht="25.05" customHeight="1">
      <c r="A21" s="399"/>
      <c r="B21" s="587"/>
      <c r="C21" s="587"/>
      <c r="D21" s="587"/>
      <c r="E21" s="588"/>
    </row>
    <row r="22" spans="1:5" ht="28.05" customHeight="1">
      <c r="A22" s="399"/>
      <c r="B22" s="587"/>
      <c r="C22" s="587"/>
      <c r="D22" s="587"/>
      <c r="E22" s="588"/>
    </row>
    <row r="23" spans="1:5" ht="28.05" customHeight="1">
      <c r="A23" s="399"/>
      <c r="B23" s="587"/>
      <c r="C23" s="587"/>
      <c r="D23" s="587"/>
      <c r="E23" s="588"/>
    </row>
    <row r="24" spans="1:5" ht="25.05" customHeight="1">
      <c r="A24" s="399"/>
      <c r="B24" s="587"/>
      <c r="C24" s="587"/>
      <c r="D24" s="587"/>
      <c r="E24" s="588"/>
    </row>
    <row r="25" spans="1:5" ht="28.05" customHeight="1">
      <c r="A25" s="399"/>
      <c r="B25" s="587"/>
      <c r="C25" s="587"/>
      <c r="D25" s="587"/>
      <c r="E25" s="588"/>
    </row>
    <row r="26" spans="1:5" ht="28.05" customHeight="1">
      <c r="A26" s="399"/>
      <c r="B26" s="587"/>
      <c r="C26" s="587"/>
      <c r="D26" s="587"/>
      <c r="E26" s="588"/>
    </row>
    <row r="27" spans="1:5" ht="11.4" customHeight="1" thickBot="1">
      <c r="A27" s="589"/>
      <c r="B27" s="590"/>
      <c r="C27" s="590"/>
      <c r="D27" s="590"/>
      <c r="E27" s="591"/>
    </row>
    <row r="28" spans="1:5">
      <c r="A28" s="1" t="s">
        <v>847</v>
      </c>
    </row>
    <row r="29" spans="1:5">
      <c r="A29" s="592" t="s">
        <v>944</v>
      </c>
      <c r="B29" s="628"/>
      <c r="C29" s="628"/>
      <c r="D29" s="628"/>
      <c r="E29" s="628"/>
    </row>
    <row r="30" spans="1:5">
      <c r="A30" s="592" t="s">
        <v>1070</v>
      </c>
      <c r="B30" s="628"/>
      <c r="C30" s="628"/>
      <c r="D30" s="628"/>
      <c r="E30" s="628"/>
    </row>
    <row r="31" spans="1:5">
      <c r="A31" s="592" t="s">
        <v>1071</v>
      </c>
      <c r="B31" s="628"/>
      <c r="C31" s="628"/>
      <c r="D31" s="628"/>
      <c r="E31" s="628"/>
    </row>
    <row r="32" spans="1:5">
      <c r="A32" s="592" t="s">
        <v>1079</v>
      </c>
      <c r="B32" s="628"/>
      <c r="C32" s="628"/>
      <c r="D32" s="628"/>
      <c r="E32" s="628"/>
    </row>
    <row r="33" spans="1:5">
      <c r="A33" s="592" t="s">
        <v>1072</v>
      </c>
      <c r="B33" s="628"/>
      <c r="C33" s="628"/>
      <c r="D33" s="628"/>
      <c r="E33" s="628"/>
    </row>
  </sheetData>
  <mergeCells count="4">
    <mergeCell ref="A1:E1"/>
    <mergeCell ref="A2:E2"/>
    <mergeCell ref="A3:E3"/>
    <mergeCell ref="A4:E4"/>
  </mergeCells>
  <phoneticPr fontId="14" type="noConversion"/>
  <pageMargins left="0.6692913385826772" right="0.6692913385826772" top="0.59055118110236227" bottom="0.78740157480314965" header="0.51181102362204722" footer="0.47244094488188981"/>
  <pageSetup paperSize="9" firstPageNumber="41" orientation="portrait" blackAndWhite="1" useFirstPageNumber="1" r:id="rId1"/>
  <headerFooter scaleWithDoc="0" alignWithMargins="0">
    <oddFooter>&amp;C&amp;"Arial Unicode MS,標準"&amp;P</oddFooter>
  </headerFooter>
</worksheet>
</file>

<file path=xl/worksheets/sheet42.xml><?xml version="1.0" encoding="utf-8"?>
<worksheet xmlns="http://schemas.openxmlformats.org/spreadsheetml/2006/main" xmlns:r="http://schemas.openxmlformats.org/officeDocument/2006/relationships">
  <dimension ref="A1:E33"/>
  <sheetViews>
    <sheetView workbookViewId="0">
      <selection activeCell="D40" sqref="D40"/>
    </sheetView>
  </sheetViews>
  <sheetFormatPr defaultRowHeight="16.2"/>
  <cols>
    <col min="1" max="1" width="18.77734375" customWidth="1"/>
    <col min="2" max="2" width="16.77734375" customWidth="1"/>
    <col min="3" max="3" width="17" customWidth="1"/>
    <col min="4" max="4" width="16.6640625" customWidth="1"/>
    <col min="5" max="5" width="18.6640625" customWidth="1"/>
  </cols>
  <sheetData>
    <row r="1" spans="1:5" ht="24.6">
      <c r="A1" s="957" t="s">
        <v>801</v>
      </c>
      <c r="B1" s="957"/>
      <c r="C1" s="957"/>
      <c r="D1" s="957"/>
      <c r="E1" s="957"/>
    </row>
    <row r="2" spans="1:5" ht="22.2">
      <c r="A2" s="958" t="s">
        <v>802</v>
      </c>
      <c r="B2" s="958"/>
      <c r="C2" s="958"/>
      <c r="D2" s="958"/>
      <c r="E2" s="958"/>
    </row>
    <row r="3" spans="1:5" ht="22.2">
      <c r="A3" s="959" t="s">
        <v>803</v>
      </c>
      <c r="B3" s="959"/>
      <c r="C3" s="959"/>
      <c r="D3" s="959"/>
      <c r="E3" s="959"/>
    </row>
    <row r="4" spans="1:5" ht="19.8">
      <c r="A4" s="960" t="s">
        <v>893</v>
      </c>
      <c r="B4" s="960"/>
      <c r="C4" s="960"/>
      <c r="D4" s="960"/>
      <c r="E4" s="960"/>
    </row>
    <row r="5" spans="1:5" ht="16.8" thickBot="1">
      <c r="A5" s="3"/>
      <c r="B5" s="3"/>
      <c r="C5" s="3"/>
      <c r="D5" s="1"/>
      <c r="E5" s="11" t="s">
        <v>804</v>
      </c>
    </row>
    <row r="6" spans="1:5" ht="41.25" customHeight="1">
      <c r="A6" s="584" t="s">
        <v>805</v>
      </c>
      <c r="B6" s="585" t="s">
        <v>806</v>
      </c>
      <c r="C6" s="585" t="s">
        <v>807</v>
      </c>
      <c r="D6" s="585" t="s">
        <v>808</v>
      </c>
      <c r="E6" s="586" t="s">
        <v>809</v>
      </c>
    </row>
    <row r="7" spans="1:5" ht="25.05" customHeight="1">
      <c r="A7" s="399"/>
      <c r="B7" s="587"/>
      <c r="C7" s="587"/>
      <c r="D7" s="587"/>
      <c r="E7" s="588"/>
    </row>
    <row r="8" spans="1:5" ht="25.05" customHeight="1">
      <c r="A8" s="399"/>
      <c r="B8" s="587"/>
      <c r="C8" s="587"/>
      <c r="D8" s="587"/>
      <c r="E8" s="588"/>
    </row>
    <row r="9" spans="1:5" ht="25.05" customHeight="1">
      <c r="A9" s="399"/>
      <c r="B9" s="587"/>
      <c r="C9" s="587"/>
      <c r="D9" s="587"/>
      <c r="E9" s="588"/>
    </row>
    <row r="10" spans="1:5" ht="25.05" customHeight="1">
      <c r="A10" s="399"/>
      <c r="B10" s="587"/>
      <c r="C10" s="587"/>
      <c r="D10" s="587"/>
      <c r="E10" s="588"/>
    </row>
    <row r="11" spans="1:5" ht="25.05" customHeight="1">
      <c r="A11" s="399"/>
      <c r="B11" s="587"/>
      <c r="C11" s="587"/>
      <c r="D11" s="587"/>
      <c r="E11" s="588"/>
    </row>
    <row r="12" spans="1:5" ht="25.05" customHeight="1">
      <c r="A12" s="399"/>
      <c r="B12" s="587"/>
      <c r="C12" s="587"/>
      <c r="D12" s="587"/>
      <c r="E12" s="588"/>
    </row>
    <row r="13" spans="1:5" ht="25.05" customHeight="1">
      <c r="A13" s="399"/>
      <c r="B13" s="587"/>
      <c r="C13" s="587"/>
      <c r="D13" s="587"/>
      <c r="E13" s="588"/>
    </row>
    <row r="14" spans="1:5" ht="25.05" customHeight="1">
      <c r="A14" s="399"/>
      <c r="B14" s="587"/>
      <c r="C14" s="587"/>
      <c r="D14" s="587"/>
      <c r="E14" s="588"/>
    </row>
    <row r="15" spans="1:5" ht="25.05" customHeight="1">
      <c r="A15" s="399"/>
      <c r="B15" s="587"/>
      <c r="C15" s="587"/>
      <c r="D15" s="587"/>
      <c r="E15" s="588"/>
    </row>
    <row r="16" spans="1:5" ht="25.05" customHeight="1">
      <c r="A16" s="399"/>
      <c r="B16" s="587"/>
      <c r="C16" s="587"/>
      <c r="D16" s="587"/>
      <c r="E16" s="588"/>
    </row>
    <row r="17" spans="1:5" ht="25.05" customHeight="1">
      <c r="A17" s="399"/>
      <c r="B17" s="587"/>
      <c r="C17" s="587"/>
      <c r="D17" s="587"/>
      <c r="E17" s="588"/>
    </row>
    <row r="18" spans="1:5" ht="25.05" customHeight="1">
      <c r="A18" s="399"/>
      <c r="B18" s="587"/>
      <c r="C18" s="587"/>
      <c r="D18" s="587"/>
      <c r="E18" s="588"/>
    </row>
    <row r="19" spans="1:5" ht="25.05" customHeight="1">
      <c r="A19" s="399"/>
      <c r="B19" s="587"/>
      <c r="C19" s="587"/>
      <c r="D19" s="587"/>
      <c r="E19" s="588"/>
    </row>
    <row r="20" spans="1:5" ht="25.05" customHeight="1">
      <c r="A20" s="399"/>
      <c r="B20" s="587"/>
      <c r="C20" s="587"/>
      <c r="D20" s="587"/>
      <c r="E20" s="588"/>
    </row>
    <row r="21" spans="1:5" ht="25.05" customHeight="1">
      <c r="A21" s="399"/>
      <c r="B21" s="587"/>
      <c r="C21" s="587"/>
      <c r="D21" s="587"/>
      <c r="E21" s="588"/>
    </row>
    <row r="22" spans="1:5" ht="28.05" customHeight="1">
      <c r="A22" s="399"/>
      <c r="B22" s="587"/>
      <c r="C22" s="587"/>
      <c r="D22" s="587"/>
      <c r="E22" s="588"/>
    </row>
    <row r="23" spans="1:5" ht="28.05" customHeight="1">
      <c r="A23" s="399"/>
      <c r="B23" s="587"/>
      <c r="C23" s="587"/>
      <c r="D23" s="587"/>
      <c r="E23" s="588"/>
    </row>
    <row r="24" spans="1:5" ht="25.05" customHeight="1">
      <c r="A24" s="399"/>
      <c r="B24" s="587"/>
      <c r="C24" s="587"/>
      <c r="D24" s="587"/>
      <c r="E24" s="588"/>
    </row>
    <row r="25" spans="1:5" ht="28.05" customHeight="1">
      <c r="A25" s="399"/>
      <c r="B25" s="587"/>
      <c r="C25" s="587"/>
      <c r="D25" s="587"/>
      <c r="E25" s="588"/>
    </row>
    <row r="26" spans="1:5" ht="28.05" customHeight="1">
      <c r="A26" s="399"/>
      <c r="B26" s="587"/>
      <c r="C26" s="587"/>
      <c r="D26" s="587"/>
      <c r="E26" s="588"/>
    </row>
    <row r="27" spans="1:5" ht="25.05" customHeight="1" thickBot="1">
      <c r="A27" s="589"/>
      <c r="B27" s="590"/>
      <c r="C27" s="590"/>
      <c r="D27" s="590"/>
      <c r="E27" s="591"/>
    </row>
    <row r="28" spans="1:5">
      <c r="A28" s="1" t="s">
        <v>810</v>
      </c>
    </row>
    <row r="29" spans="1:5">
      <c r="A29" s="592" t="s">
        <v>811</v>
      </c>
    </row>
    <row r="30" spans="1:5">
      <c r="A30" s="592" t="s">
        <v>843</v>
      </c>
    </row>
    <row r="31" spans="1:5">
      <c r="A31" s="592" t="s">
        <v>892</v>
      </c>
    </row>
    <row r="32" spans="1:5">
      <c r="A32" s="592" t="s">
        <v>852</v>
      </c>
    </row>
    <row r="33" spans="1:1">
      <c r="A33" s="592" t="s">
        <v>940</v>
      </c>
    </row>
  </sheetData>
  <mergeCells count="4">
    <mergeCell ref="A1:E1"/>
    <mergeCell ref="A2:E2"/>
    <mergeCell ref="A3:E3"/>
    <mergeCell ref="A4:E4"/>
  </mergeCells>
  <phoneticPr fontId="14" type="noConversion"/>
  <pageMargins left="0.6692913385826772" right="0.6692913385826772" top="0.59055118110236227" bottom="0.78740157480314965" header="0.51181102362204722" footer="0.47244094488188981"/>
  <pageSetup paperSize="9" firstPageNumber="37" orientation="portrait" useFirstPageNumber="1" r:id="rId1"/>
  <headerFooter alignWithMargins="0">
    <oddFooter>&amp;C&amp;"Arial Unicode MS,標準"&amp;P</oddFooter>
  </headerFooter>
</worksheet>
</file>

<file path=xl/worksheets/sheet43.xml><?xml version="1.0" encoding="utf-8"?>
<worksheet xmlns="http://schemas.openxmlformats.org/spreadsheetml/2006/main" xmlns:r="http://schemas.openxmlformats.org/officeDocument/2006/relationships">
  <sheetPr codeName="Sheet51">
    <tabColor rgb="FFFFFFCC"/>
  </sheetPr>
  <dimension ref="A1:T33"/>
  <sheetViews>
    <sheetView topLeftCell="A19" zoomScaleNormal="100" workbookViewId="0">
      <selection activeCell="B47" sqref="B47"/>
    </sheetView>
  </sheetViews>
  <sheetFormatPr defaultRowHeight="16.2"/>
  <cols>
    <col min="1" max="1" width="16.44140625" customWidth="1"/>
    <col min="2" max="4" width="8.109375" customWidth="1"/>
    <col min="5" max="5" width="6.88671875" customWidth="1"/>
    <col min="6" max="6" width="8.109375" customWidth="1"/>
    <col min="7" max="7" width="7.6640625" customWidth="1"/>
    <col min="8" max="10" width="8.109375" customWidth="1"/>
    <col min="11" max="15" width="8.6640625" customWidth="1"/>
    <col min="16" max="16" width="7.77734375" customWidth="1"/>
    <col min="17" max="17" width="7.6640625" customWidth="1"/>
    <col min="18" max="18" width="8.6640625" customWidth="1"/>
    <col min="19" max="20" width="10.6640625" customWidth="1"/>
  </cols>
  <sheetData>
    <row r="1" spans="1:20" ht="24.6">
      <c r="A1" s="1233" t="s">
        <v>769</v>
      </c>
      <c r="B1" s="1233"/>
      <c r="C1" s="1233"/>
      <c r="D1" s="1233"/>
      <c r="E1" s="1233"/>
      <c r="F1" s="1233"/>
      <c r="G1" s="1233"/>
      <c r="H1" s="1233"/>
      <c r="I1" s="1233"/>
      <c r="J1" s="1233"/>
      <c r="K1" s="1228" t="s">
        <v>770</v>
      </c>
      <c r="L1" s="1228"/>
      <c r="M1" s="1228"/>
      <c r="N1" s="1228"/>
      <c r="O1" s="1228"/>
      <c r="P1" s="1228"/>
      <c r="Q1" s="1228"/>
      <c r="R1" s="1228"/>
      <c r="S1" s="1228"/>
      <c r="T1" s="1228"/>
    </row>
    <row r="2" spans="1:20" ht="22.2">
      <c r="A2" s="1229" t="s">
        <v>771</v>
      </c>
      <c r="B2" s="1229"/>
      <c r="C2" s="1229"/>
      <c r="D2" s="1229"/>
      <c r="E2" s="1229"/>
      <c r="F2" s="1229"/>
      <c r="G2" s="1229"/>
      <c r="H2" s="1229"/>
      <c r="I2" s="1229"/>
      <c r="J2" s="1229"/>
      <c r="K2" s="1230" t="s">
        <v>772</v>
      </c>
      <c r="L2" s="1230"/>
      <c r="M2" s="1230"/>
      <c r="N2" s="1230"/>
      <c r="O2" s="1230"/>
      <c r="P2" s="1230"/>
      <c r="Q2" s="1230"/>
      <c r="R2" s="1230"/>
      <c r="S2" s="1230"/>
      <c r="T2" s="1230"/>
    </row>
    <row r="3" spans="1:20" ht="22.2">
      <c r="A3" s="1231" t="s">
        <v>773</v>
      </c>
      <c r="B3" s="1231"/>
      <c r="C3" s="1231"/>
      <c r="D3" s="1231"/>
      <c r="E3" s="1231"/>
      <c r="F3" s="1231"/>
      <c r="G3" s="1231"/>
      <c r="H3" s="1231"/>
      <c r="I3" s="1231"/>
      <c r="J3" s="1231"/>
      <c r="K3" s="1232" t="s">
        <v>774</v>
      </c>
      <c r="L3" s="1232"/>
      <c r="M3" s="1232"/>
      <c r="N3" s="1232"/>
      <c r="O3" s="1232"/>
      <c r="P3" s="1232"/>
      <c r="Q3" s="1232"/>
      <c r="R3" s="1232"/>
      <c r="S3" s="1232"/>
      <c r="T3" s="1232"/>
    </row>
    <row r="4" spans="1:20" ht="19.8">
      <c r="A4" s="1227" t="s">
        <v>775</v>
      </c>
      <c r="B4" s="1227"/>
      <c r="C4" s="1227"/>
      <c r="D4" s="1227"/>
      <c r="E4" s="1227"/>
      <c r="F4" s="1227"/>
      <c r="G4" s="1227"/>
      <c r="H4" s="1227"/>
      <c r="I4" s="1227"/>
      <c r="J4" s="1227"/>
      <c r="K4" s="1234" t="s">
        <v>1075</v>
      </c>
      <c r="L4" s="1234"/>
      <c r="M4" s="1234"/>
      <c r="N4" s="1234"/>
      <c r="O4" s="1234"/>
      <c r="P4" s="1234"/>
      <c r="Q4" s="1234"/>
      <c r="R4" s="1234"/>
      <c r="S4" s="1234"/>
      <c r="T4" s="1234"/>
    </row>
    <row r="5" spans="1:20" ht="16.8" thickBot="1">
      <c r="A5" s="3"/>
      <c r="B5" s="3"/>
      <c r="C5" s="3"/>
      <c r="D5" s="3"/>
      <c r="E5" s="3"/>
      <c r="F5" s="3"/>
      <c r="G5" s="3"/>
      <c r="H5" s="3"/>
      <c r="I5" s="3"/>
      <c r="J5" s="3"/>
      <c r="K5" s="3"/>
      <c r="L5" s="3"/>
      <c r="M5" s="3"/>
      <c r="N5" s="3"/>
      <c r="O5" s="3"/>
      <c r="P5" s="3"/>
      <c r="Q5" s="3"/>
      <c r="R5" s="3"/>
      <c r="S5" s="1"/>
      <c r="T5" s="11" t="s">
        <v>776</v>
      </c>
    </row>
    <row r="6" spans="1:20" ht="20.55" customHeight="1">
      <c r="A6" s="1235" t="s">
        <v>777</v>
      </c>
      <c r="B6" s="1237" t="s">
        <v>778</v>
      </c>
      <c r="C6" s="1237" t="s">
        <v>779</v>
      </c>
      <c r="D6" s="1237" t="s">
        <v>780</v>
      </c>
      <c r="E6" s="1237" t="s">
        <v>781</v>
      </c>
      <c r="F6" s="1237" t="s">
        <v>782</v>
      </c>
      <c r="G6" s="1237"/>
      <c r="H6" s="1237"/>
      <c r="I6" s="1237"/>
      <c r="J6" s="1239" t="s">
        <v>783</v>
      </c>
      <c r="K6" s="1240"/>
      <c r="L6" s="1241" t="s">
        <v>784</v>
      </c>
      <c r="M6" s="1239" t="s">
        <v>785</v>
      </c>
      <c r="N6" s="1244"/>
      <c r="O6" s="1244"/>
      <c r="P6" s="1240"/>
      <c r="Q6" s="1241" t="s">
        <v>786</v>
      </c>
      <c r="R6" s="1241" t="s">
        <v>787</v>
      </c>
      <c r="S6" s="1241" t="s">
        <v>788</v>
      </c>
      <c r="T6" s="1242" t="s">
        <v>789</v>
      </c>
    </row>
    <row r="7" spans="1:20" ht="41.25" customHeight="1">
      <c r="A7" s="1236"/>
      <c r="B7" s="1238"/>
      <c r="C7" s="1238"/>
      <c r="D7" s="1238"/>
      <c r="E7" s="1238"/>
      <c r="F7" s="593" t="s">
        <v>790</v>
      </c>
      <c r="G7" s="593" t="s">
        <v>791</v>
      </c>
      <c r="H7" s="593" t="s">
        <v>792</v>
      </c>
      <c r="I7" s="593" t="s">
        <v>793</v>
      </c>
      <c r="J7" s="593" t="s">
        <v>794</v>
      </c>
      <c r="K7" s="593" t="s">
        <v>795</v>
      </c>
      <c r="L7" s="1189"/>
      <c r="M7" s="593" t="s">
        <v>796</v>
      </c>
      <c r="N7" s="593" t="s">
        <v>797</v>
      </c>
      <c r="O7" s="593" t="s">
        <v>798</v>
      </c>
      <c r="P7" s="593" t="s">
        <v>793</v>
      </c>
      <c r="Q7" s="1189"/>
      <c r="R7" s="1189"/>
      <c r="S7" s="1189"/>
      <c r="T7" s="1243"/>
    </row>
    <row r="8" spans="1:20" ht="25.05" customHeight="1">
      <c r="A8" s="399"/>
      <c r="B8" s="587"/>
      <c r="C8" s="587"/>
      <c r="D8" s="587"/>
      <c r="E8" s="587"/>
      <c r="F8" s="587"/>
      <c r="G8" s="587"/>
      <c r="H8" s="587"/>
      <c r="I8" s="587"/>
      <c r="J8" s="587"/>
      <c r="K8" s="587"/>
      <c r="L8" s="587"/>
      <c r="M8" s="587"/>
      <c r="N8" s="587"/>
      <c r="O8" s="587"/>
      <c r="P8" s="587"/>
      <c r="Q8" s="587"/>
      <c r="R8" s="587"/>
      <c r="S8" s="587"/>
      <c r="T8" s="588"/>
    </row>
    <row r="9" spans="1:20" ht="25.05" customHeight="1">
      <c r="A9" s="399"/>
      <c r="B9" s="587"/>
      <c r="C9" s="587"/>
      <c r="D9" s="587"/>
      <c r="E9" s="587"/>
      <c r="F9" s="587"/>
      <c r="G9" s="587"/>
      <c r="H9" s="587"/>
      <c r="I9" s="587"/>
      <c r="J9" s="587"/>
      <c r="K9" s="587"/>
      <c r="L9" s="587"/>
      <c r="M9" s="587"/>
      <c r="N9" s="587"/>
      <c r="O9" s="587"/>
      <c r="P9" s="587"/>
      <c r="Q9" s="587"/>
      <c r="R9" s="587"/>
      <c r="S9" s="587"/>
      <c r="T9" s="588"/>
    </row>
    <row r="10" spans="1:20" ht="25.05" customHeight="1">
      <c r="A10" s="399"/>
      <c r="B10" s="587"/>
      <c r="C10" s="587"/>
      <c r="D10" s="587"/>
      <c r="E10" s="587"/>
      <c r="F10" s="587"/>
      <c r="G10" s="587"/>
      <c r="H10" s="587"/>
      <c r="I10" s="587"/>
      <c r="J10" s="587"/>
      <c r="K10" s="587"/>
      <c r="L10" s="587"/>
      <c r="M10" s="587"/>
      <c r="N10" s="587"/>
      <c r="O10" s="587"/>
      <c r="P10" s="587"/>
      <c r="Q10" s="587"/>
      <c r="R10" s="587"/>
      <c r="S10" s="587"/>
      <c r="T10" s="588"/>
    </row>
    <row r="11" spans="1:20" ht="25.05" customHeight="1">
      <c r="A11" s="399"/>
      <c r="B11" s="587"/>
      <c r="C11" s="587"/>
      <c r="D11" s="587"/>
      <c r="E11" s="587"/>
      <c r="F11" s="587"/>
      <c r="G11" s="587"/>
      <c r="H11" s="587"/>
      <c r="I11" s="587"/>
      <c r="J11" s="587"/>
      <c r="K11" s="587"/>
      <c r="L11" s="587"/>
      <c r="M11" s="587"/>
      <c r="N11" s="587"/>
      <c r="O11" s="587"/>
      <c r="P11" s="587"/>
      <c r="Q11" s="587"/>
      <c r="R11" s="587"/>
      <c r="S11" s="587"/>
      <c r="T11" s="588"/>
    </row>
    <row r="12" spans="1:20" ht="25.05" customHeight="1">
      <c r="A12" s="399"/>
      <c r="B12" s="587"/>
      <c r="C12" s="587"/>
      <c r="D12" s="587"/>
      <c r="E12" s="587"/>
      <c r="F12" s="587"/>
      <c r="G12" s="587"/>
      <c r="H12" s="587"/>
      <c r="I12" s="587"/>
      <c r="J12" s="587"/>
      <c r="K12" s="587"/>
      <c r="L12" s="587"/>
      <c r="M12" s="587"/>
      <c r="N12" s="587"/>
      <c r="O12" s="587"/>
      <c r="P12" s="587"/>
      <c r="Q12" s="587"/>
      <c r="R12" s="587"/>
      <c r="S12" s="587"/>
      <c r="T12" s="588"/>
    </row>
    <row r="13" spans="1:20" ht="25.05" customHeight="1">
      <c r="A13" s="399"/>
      <c r="B13" s="587"/>
      <c r="C13" s="587"/>
      <c r="D13" s="587"/>
      <c r="E13" s="587"/>
      <c r="F13" s="587"/>
      <c r="G13" s="587"/>
      <c r="H13" s="587"/>
      <c r="I13" s="587"/>
      <c r="J13" s="587"/>
      <c r="K13" s="587"/>
      <c r="L13" s="587"/>
      <c r="M13" s="587"/>
      <c r="N13" s="587"/>
      <c r="O13" s="587"/>
      <c r="P13" s="587"/>
      <c r="Q13" s="587"/>
      <c r="R13" s="587"/>
      <c r="S13" s="587"/>
      <c r="T13" s="588"/>
    </row>
    <row r="14" spans="1:20" ht="25.05" customHeight="1">
      <c r="A14" s="399"/>
      <c r="B14" s="587"/>
      <c r="C14" s="587"/>
      <c r="D14" s="587"/>
      <c r="E14" s="587"/>
      <c r="F14" s="587"/>
      <c r="G14" s="587"/>
      <c r="H14" s="587"/>
      <c r="I14" s="587"/>
      <c r="J14" s="587"/>
      <c r="K14" s="587"/>
      <c r="L14" s="587"/>
      <c r="M14" s="587"/>
      <c r="N14" s="587"/>
      <c r="O14" s="587"/>
      <c r="P14" s="587"/>
      <c r="Q14" s="587"/>
      <c r="R14" s="587"/>
      <c r="S14" s="587"/>
      <c r="T14" s="588"/>
    </row>
    <row r="15" spans="1:20" ht="25.05" customHeight="1">
      <c r="A15" s="399"/>
      <c r="B15" s="587"/>
      <c r="C15" s="587"/>
      <c r="D15" s="587"/>
      <c r="E15" s="587"/>
      <c r="F15" s="587"/>
      <c r="G15" s="587"/>
      <c r="H15" s="587"/>
      <c r="I15" s="587"/>
      <c r="J15" s="587"/>
      <c r="K15" s="587"/>
      <c r="L15" s="587"/>
      <c r="M15" s="587"/>
      <c r="N15" s="587"/>
      <c r="O15" s="587"/>
      <c r="P15" s="587"/>
      <c r="Q15" s="587"/>
      <c r="R15" s="587"/>
      <c r="S15" s="587"/>
      <c r="T15" s="588"/>
    </row>
    <row r="16" spans="1:20" ht="25.05" customHeight="1">
      <c r="A16" s="399"/>
      <c r="B16" s="587"/>
      <c r="C16" s="587"/>
      <c r="D16" s="587"/>
      <c r="E16" s="587"/>
      <c r="F16" s="587"/>
      <c r="G16" s="587"/>
      <c r="H16" s="587"/>
      <c r="I16" s="587"/>
      <c r="J16" s="587"/>
      <c r="K16" s="587"/>
      <c r="L16" s="587"/>
      <c r="M16" s="587"/>
      <c r="N16" s="587"/>
      <c r="O16" s="587"/>
      <c r="P16" s="587"/>
      <c r="Q16" s="587"/>
      <c r="R16" s="587"/>
      <c r="S16" s="587"/>
      <c r="T16" s="588"/>
    </row>
    <row r="17" spans="1:20" ht="25.05" customHeight="1">
      <c r="A17" s="399"/>
      <c r="B17" s="587"/>
      <c r="C17" s="587"/>
      <c r="D17" s="587"/>
      <c r="E17" s="587"/>
      <c r="F17" s="587"/>
      <c r="G17" s="587"/>
      <c r="H17" s="587"/>
      <c r="I17" s="587"/>
      <c r="J17" s="587"/>
      <c r="K17" s="587"/>
      <c r="L17" s="587"/>
      <c r="M17" s="587"/>
      <c r="N17" s="587"/>
      <c r="O17" s="587"/>
      <c r="P17" s="587"/>
      <c r="Q17" s="587"/>
      <c r="R17" s="587"/>
      <c r="S17" s="587"/>
      <c r="T17" s="588"/>
    </row>
    <row r="18" spans="1:20" ht="25.05" customHeight="1">
      <c r="A18" s="399"/>
      <c r="B18" s="587"/>
      <c r="C18" s="587"/>
      <c r="D18" s="587"/>
      <c r="E18" s="587"/>
      <c r="F18" s="587"/>
      <c r="G18" s="587"/>
      <c r="H18" s="587"/>
      <c r="I18" s="587"/>
      <c r="J18" s="587"/>
      <c r="K18" s="587"/>
      <c r="L18" s="587"/>
      <c r="M18" s="587"/>
      <c r="N18" s="587"/>
      <c r="O18" s="587"/>
      <c r="P18" s="587"/>
      <c r="Q18" s="587"/>
      <c r="R18" s="587"/>
      <c r="S18" s="587"/>
      <c r="T18" s="588"/>
    </row>
    <row r="19" spans="1:20" ht="25.05" customHeight="1">
      <c r="A19" s="399"/>
      <c r="B19" s="587"/>
      <c r="C19" s="587"/>
      <c r="D19" s="587"/>
      <c r="E19" s="587"/>
      <c r="F19" s="587"/>
      <c r="G19" s="587"/>
      <c r="H19" s="587"/>
      <c r="I19" s="587"/>
      <c r="J19" s="587"/>
      <c r="K19" s="587"/>
      <c r="L19" s="587"/>
      <c r="M19" s="587"/>
      <c r="N19" s="587"/>
      <c r="O19" s="587"/>
      <c r="P19" s="587"/>
      <c r="Q19" s="587"/>
      <c r="R19" s="587"/>
      <c r="S19" s="587"/>
      <c r="T19" s="588"/>
    </row>
    <row r="20" spans="1:20" ht="25.05" customHeight="1">
      <c r="A20" s="399"/>
      <c r="B20" s="587"/>
      <c r="C20" s="587"/>
      <c r="D20" s="587"/>
      <c r="E20" s="587"/>
      <c r="F20" s="587"/>
      <c r="G20" s="587"/>
      <c r="H20" s="587"/>
      <c r="I20" s="587"/>
      <c r="J20" s="587"/>
      <c r="K20" s="587"/>
      <c r="L20" s="587"/>
      <c r="M20" s="587"/>
      <c r="N20" s="587"/>
      <c r="O20" s="587"/>
      <c r="P20" s="587"/>
      <c r="Q20" s="587"/>
      <c r="R20" s="587"/>
      <c r="S20" s="587"/>
      <c r="T20" s="588"/>
    </row>
    <row r="21" spans="1:20" ht="25.05" customHeight="1">
      <c r="A21" s="399"/>
      <c r="B21" s="587"/>
      <c r="C21" s="587"/>
      <c r="D21" s="587"/>
      <c r="E21" s="587"/>
      <c r="F21" s="587"/>
      <c r="G21" s="587"/>
      <c r="H21" s="587"/>
      <c r="I21" s="587"/>
      <c r="J21" s="587"/>
      <c r="K21" s="587"/>
      <c r="L21" s="587"/>
      <c r="M21" s="587"/>
      <c r="N21" s="587"/>
      <c r="O21" s="587"/>
      <c r="P21" s="587"/>
      <c r="Q21" s="587"/>
      <c r="R21" s="587"/>
      <c r="S21" s="587"/>
      <c r="T21" s="588"/>
    </row>
    <row r="22" spans="1:20" ht="25.05" customHeight="1">
      <c r="A22" s="399"/>
      <c r="B22" s="587"/>
      <c r="C22" s="587"/>
      <c r="D22" s="587"/>
      <c r="E22" s="587"/>
      <c r="F22" s="587"/>
      <c r="G22" s="587"/>
      <c r="H22" s="587"/>
      <c r="I22" s="587"/>
      <c r="J22" s="587"/>
      <c r="K22" s="587"/>
      <c r="L22" s="587"/>
      <c r="M22" s="587"/>
      <c r="N22" s="587"/>
      <c r="O22" s="587"/>
      <c r="P22" s="587"/>
      <c r="Q22" s="587"/>
      <c r="R22" s="587"/>
      <c r="S22" s="587"/>
      <c r="T22" s="588"/>
    </row>
    <row r="23" spans="1:20" ht="25.05" customHeight="1">
      <c r="A23" s="399"/>
      <c r="B23" s="587"/>
      <c r="C23" s="587"/>
      <c r="D23" s="587"/>
      <c r="E23" s="587"/>
      <c r="F23" s="587"/>
      <c r="G23" s="587"/>
      <c r="H23" s="587"/>
      <c r="I23" s="587"/>
      <c r="J23" s="587"/>
      <c r="K23" s="587"/>
      <c r="L23" s="587"/>
      <c r="M23" s="587"/>
      <c r="N23" s="587"/>
      <c r="O23" s="587"/>
      <c r="P23" s="587"/>
      <c r="Q23" s="587"/>
      <c r="R23" s="587"/>
      <c r="S23" s="587"/>
      <c r="T23" s="588"/>
    </row>
    <row r="24" spans="1:20" ht="25.05" customHeight="1">
      <c r="A24" s="399"/>
      <c r="B24" s="587"/>
      <c r="C24" s="587"/>
      <c r="D24" s="587"/>
      <c r="E24" s="587"/>
      <c r="F24" s="587"/>
      <c r="G24" s="587"/>
      <c r="H24" s="587"/>
      <c r="I24" s="587"/>
      <c r="J24" s="587"/>
      <c r="K24" s="587"/>
      <c r="L24" s="587"/>
      <c r="M24" s="587"/>
      <c r="N24" s="587"/>
      <c r="O24" s="587"/>
      <c r="P24" s="587"/>
      <c r="Q24" s="587"/>
      <c r="R24" s="587"/>
      <c r="S24" s="587"/>
      <c r="T24" s="588"/>
    </row>
    <row r="25" spans="1:20" ht="25.05" customHeight="1">
      <c r="A25" s="399"/>
      <c r="B25" s="587"/>
      <c r="C25" s="587"/>
      <c r="D25" s="587"/>
      <c r="E25" s="587"/>
      <c r="F25" s="587"/>
      <c r="G25" s="587"/>
      <c r="H25" s="587"/>
      <c r="I25" s="587"/>
      <c r="J25" s="587"/>
      <c r="K25" s="587"/>
      <c r="L25" s="587"/>
      <c r="M25" s="587"/>
      <c r="N25" s="587"/>
      <c r="O25" s="587"/>
      <c r="P25" s="587"/>
      <c r="Q25" s="587"/>
      <c r="R25" s="587"/>
      <c r="S25" s="587"/>
      <c r="T25" s="588"/>
    </row>
    <row r="26" spans="1:20" ht="25.05" customHeight="1">
      <c r="A26" s="594"/>
      <c r="B26" s="587"/>
      <c r="C26" s="587"/>
      <c r="D26" s="587"/>
      <c r="E26" s="587"/>
      <c r="F26" s="587"/>
      <c r="G26" s="587"/>
      <c r="H26" s="587"/>
      <c r="I26" s="587"/>
      <c r="J26" s="587"/>
      <c r="K26" s="587"/>
      <c r="L26" s="587"/>
      <c r="M26" s="587"/>
      <c r="N26" s="587"/>
      <c r="O26" s="587"/>
      <c r="P26" s="587"/>
      <c r="Q26" s="587"/>
      <c r="R26" s="587"/>
      <c r="S26" s="587"/>
      <c r="T26" s="588"/>
    </row>
    <row r="27" spans="1:20" ht="25.05" customHeight="1">
      <c r="A27" s="399"/>
      <c r="B27" s="587"/>
      <c r="C27" s="587"/>
      <c r="D27" s="587"/>
      <c r="E27" s="587"/>
      <c r="F27" s="587"/>
      <c r="G27" s="587"/>
      <c r="H27" s="587"/>
      <c r="I27" s="587"/>
      <c r="J27" s="587"/>
      <c r="K27" s="587"/>
      <c r="L27" s="587"/>
      <c r="M27" s="587"/>
      <c r="N27" s="587"/>
      <c r="O27" s="587"/>
      <c r="P27" s="587"/>
      <c r="Q27" s="587"/>
      <c r="R27" s="587"/>
      <c r="S27" s="587"/>
      <c r="T27" s="588"/>
    </row>
    <row r="28" spans="1:20" ht="17.399999999999999" customHeight="1">
      <c r="A28" s="399"/>
      <c r="B28" s="587"/>
      <c r="C28" s="587"/>
      <c r="D28" s="587"/>
      <c r="E28" s="587"/>
      <c r="F28" s="587"/>
      <c r="G28" s="587"/>
      <c r="H28" s="587"/>
      <c r="I28" s="587"/>
      <c r="J28" s="587"/>
      <c r="K28" s="587"/>
      <c r="L28" s="587"/>
      <c r="M28" s="587"/>
      <c r="N28" s="587"/>
      <c r="O28" s="587"/>
      <c r="P28" s="587"/>
      <c r="Q28" s="587"/>
      <c r="R28" s="587"/>
      <c r="S28" s="587"/>
      <c r="T28" s="588"/>
    </row>
    <row r="29" spans="1:20" ht="25.05" customHeight="1" thickBot="1">
      <c r="A29" s="589"/>
      <c r="B29" s="590"/>
      <c r="C29" s="590"/>
      <c r="D29" s="590"/>
      <c r="E29" s="590"/>
      <c r="F29" s="590"/>
      <c r="G29" s="590"/>
      <c r="H29" s="590"/>
      <c r="I29" s="590"/>
      <c r="J29" s="590"/>
      <c r="K29" s="590"/>
      <c r="L29" s="590"/>
      <c r="M29" s="590"/>
      <c r="N29" s="590"/>
      <c r="O29" s="590"/>
      <c r="P29" s="590"/>
      <c r="Q29" s="590"/>
      <c r="R29" s="590"/>
      <c r="S29" s="590"/>
      <c r="T29" s="591"/>
    </row>
    <row r="30" spans="1:20">
      <c r="A30" s="1" t="s">
        <v>847</v>
      </c>
    </row>
    <row r="31" spans="1:20">
      <c r="A31" s="624" t="s">
        <v>1073</v>
      </c>
      <c r="B31" s="628"/>
      <c r="C31" s="628"/>
      <c r="D31" s="628"/>
      <c r="E31" s="628"/>
      <c r="F31" s="628"/>
      <c r="G31" s="628"/>
      <c r="H31" s="628"/>
      <c r="I31" s="628"/>
      <c r="J31" s="628"/>
    </row>
    <row r="32" spans="1:20">
      <c r="A32" s="624" t="s">
        <v>1080</v>
      </c>
      <c r="B32" s="628"/>
      <c r="C32" s="628"/>
      <c r="D32" s="628"/>
      <c r="E32" s="628"/>
      <c r="F32" s="628"/>
      <c r="G32" s="628"/>
      <c r="H32" s="628"/>
      <c r="I32" s="628"/>
      <c r="J32" s="628"/>
    </row>
    <row r="33" spans="1:10">
      <c r="A33" s="624" t="s">
        <v>1074</v>
      </c>
      <c r="B33" s="628"/>
      <c r="C33" s="628"/>
      <c r="D33" s="628"/>
      <c r="E33" s="628"/>
      <c r="F33" s="628"/>
      <c r="G33" s="628"/>
      <c r="H33" s="628"/>
      <c r="I33" s="628"/>
      <c r="J33" s="628"/>
    </row>
  </sheetData>
  <mergeCells count="21">
    <mergeCell ref="F6:I6"/>
    <mergeCell ref="J6:K6"/>
    <mergeCell ref="L6:L7"/>
    <mergeCell ref="T6:T7"/>
    <mergeCell ref="M6:P6"/>
    <mergeCell ref="Q6:Q7"/>
    <mergeCell ref="R6:R7"/>
    <mergeCell ref="S6:S7"/>
    <mergeCell ref="A6:A7"/>
    <mergeCell ref="B6:B7"/>
    <mergeCell ref="C6:C7"/>
    <mergeCell ref="D6:D7"/>
    <mergeCell ref="E6:E7"/>
    <mergeCell ref="A4:J4"/>
    <mergeCell ref="K1:T1"/>
    <mergeCell ref="A2:J2"/>
    <mergeCell ref="K2:T2"/>
    <mergeCell ref="A3:J3"/>
    <mergeCell ref="K3:T3"/>
    <mergeCell ref="A1:J1"/>
    <mergeCell ref="K4:T4"/>
  </mergeCells>
  <phoneticPr fontId="14" type="noConversion"/>
  <pageMargins left="0.6692913385826772" right="0.6692913385826772" top="0.59055118110236227" bottom="0.78740157480314965" header="0.39370078740157483" footer="0.47244094488188981"/>
  <pageSetup paperSize="9" scale="99" firstPageNumber="42" orientation="portrait" blackAndWhite="1" useFirstPageNumber="1" r:id="rId1"/>
  <headerFooter scaleWithDoc="0" alignWithMargins="0">
    <oddFooter>&amp;C&amp;"Arial Unicode MS,標準"&amp;P</oddFooter>
  </headerFooter>
  <colBreaks count="1" manualBreakCount="1">
    <brk id="10" max="32" man="1"/>
  </colBreaks>
</worksheet>
</file>

<file path=xl/worksheets/sheet44.xml><?xml version="1.0" encoding="utf-8"?>
<worksheet xmlns="http://schemas.openxmlformats.org/spreadsheetml/2006/main" xmlns:r="http://schemas.openxmlformats.org/officeDocument/2006/relationships">
  <dimension ref="A1:T33"/>
  <sheetViews>
    <sheetView workbookViewId="0">
      <selection activeCell="A33" sqref="A33"/>
    </sheetView>
  </sheetViews>
  <sheetFormatPr defaultRowHeight="16.2"/>
  <cols>
    <col min="1" max="1" width="16.44140625" customWidth="1"/>
    <col min="2" max="4" width="8.109375" customWidth="1"/>
    <col min="5" max="5" width="6.88671875" customWidth="1"/>
    <col min="6" max="6" width="8.109375" customWidth="1"/>
    <col min="7" max="7" width="7.6640625" customWidth="1"/>
    <col min="8" max="10" width="8.109375" customWidth="1"/>
    <col min="11" max="15" width="8.6640625" customWidth="1"/>
    <col min="16" max="16" width="7.77734375" customWidth="1"/>
    <col min="17" max="17" width="7.6640625" customWidth="1"/>
    <col min="18" max="18" width="8.6640625" customWidth="1"/>
    <col min="19" max="20" width="10.6640625" customWidth="1"/>
  </cols>
  <sheetData>
    <row r="1" spans="1:20" ht="24.6">
      <c r="A1" s="1233" t="s">
        <v>812</v>
      </c>
      <c r="B1" s="1233"/>
      <c r="C1" s="1233"/>
      <c r="D1" s="1233"/>
      <c r="E1" s="1233"/>
      <c r="F1" s="1233"/>
      <c r="G1" s="1233"/>
      <c r="H1" s="1233"/>
      <c r="I1" s="1233"/>
      <c r="J1" s="1233"/>
      <c r="K1" s="1228" t="s">
        <v>813</v>
      </c>
      <c r="L1" s="1228"/>
      <c r="M1" s="1228"/>
      <c r="N1" s="1228"/>
      <c r="O1" s="1228"/>
      <c r="P1" s="1228"/>
      <c r="Q1" s="1228"/>
      <c r="R1" s="1228"/>
      <c r="S1" s="1228"/>
      <c r="T1" s="1228"/>
    </row>
    <row r="2" spans="1:20" ht="22.2">
      <c r="A2" s="1229" t="s">
        <v>814</v>
      </c>
      <c r="B2" s="1229"/>
      <c r="C2" s="1229"/>
      <c r="D2" s="1229"/>
      <c r="E2" s="1229"/>
      <c r="F2" s="1229"/>
      <c r="G2" s="1229"/>
      <c r="H2" s="1229"/>
      <c r="I2" s="1229"/>
      <c r="J2" s="1229"/>
      <c r="K2" s="1230" t="s">
        <v>815</v>
      </c>
      <c r="L2" s="1230"/>
      <c r="M2" s="1230"/>
      <c r="N2" s="1230"/>
      <c r="O2" s="1230"/>
      <c r="P2" s="1230"/>
      <c r="Q2" s="1230"/>
      <c r="R2" s="1230"/>
      <c r="S2" s="1230"/>
      <c r="T2" s="1230"/>
    </row>
    <row r="3" spans="1:20" ht="22.2">
      <c r="A3" s="1231" t="s">
        <v>816</v>
      </c>
      <c r="B3" s="1231"/>
      <c r="C3" s="1231"/>
      <c r="D3" s="1231"/>
      <c r="E3" s="1231"/>
      <c r="F3" s="1231"/>
      <c r="G3" s="1231"/>
      <c r="H3" s="1231"/>
      <c r="I3" s="1231"/>
      <c r="J3" s="1231"/>
      <c r="K3" s="1232" t="s">
        <v>817</v>
      </c>
      <c r="L3" s="1232"/>
      <c r="M3" s="1232"/>
      <c r="N3" s="1232"/>
      <c r="O3" s="1232"/>
      <c r="P3" s="1232"/>
      <c r="Q3" s="1232"/>
      <c r="R3" s="1232"/>
      <c r="S3" s="1232"/>
      <c r="T3" s="1232"/>
    </row>
    <row r="4" spans="1:20" ht="19.8">
      <c r="A4" s="1227" t="s">
        <v>818</v>
      </c>
      <c r="B4" s="1227"/>
      <c r="C4" s="1227"/>
      <c r="D4" s="1227"/>
      <c r="E4" s="1227"/>
      <c r="F4" s="1227"/>
      <c r="G4" s="1227"/>
      <c r="H4" s="1227"/>
      <c r="I4" s="1227"/>
      <c r="J4" s="1227"/>
      <c r="K4" s="1234" t="s">
        <v>894</v>
      </c>
      <c r="L4" s="1234"/>
      <c r="M4" s="1234"/>
      <c r="N4" s="1234"/>
      <c r="O4" s="1234"/>
      <c r="P4" s="1234"/>
      <c r="Q4" s="1234"/>
      <c r="R4" s="1234"/>
      <c r="S4" s="1234"/>
      <c r="T4" s="1234"/>
    </row>
    <row r="5" spans="1:20" ht="16.8" thickBot="1">
      <c r="A5" s="3"/>
      <c r="B5" s="3"/>
      <c r="C5" s="3"/>
      <c r="D5" s="3"/>
      <c r="E5" s="3"/>
      <c r="F5" s="3"/>
      <c r="G5" s="3"/>
      <c r="H5" s="3"/>
      <c r="I5" s="3"/>
      <c r="J5" s="3"/>
      <c r="K5" s="3"/>
      <c r="L5" s="3"/>
      <c r="M5" s="3"/>
      <c r="N5" s="3"/>
      <c r="O5" s="3"/>
      <c r="P5" s="3"/>
      <c r="Q5" s="3"/>
      <c r="R5" s="3"/>
      <c r="S5" s="1"/>
      <c r="T5" s="11" t="s">
        <v>819</v>
      </c>
    </row>
    <row r="6" spans="1:20" ht="20.55" customHeight="1">
      <c r="A6" s="1235" t="s">
        <v>820</v>
      </c>
      <c r="B6" s="1237" t="s">
        <v>821</v>
      </c>
      <c r="C6" s="1237" t="s">
        <v>822</v>
      </c>
      <c r="D6" s="1237" t="s">
        <v>823</v>
      </c>
      <c r="E6" s="1237" t="s">
        <v>824</v>
      </c>
      <c r="F6" s="1237" t="s">
        <v>825</v>
      </c>
      <c r="G6" s="1237"/>
      <c r="H6" s="1237"/>
      <c r="I6" s="1237"/>
      <c r="J6" s="1239" t="s">
        <v>826</v>
      </c>
      <c r="K6" s="1240"/>
      <c r="L6" s="1241" t="s">
        <v>827</v>
      </c>
      <c r="M6" s="1239" t="s">
        <v>828</v>
      </c>
      <c r="N6" s="1244"/>
      <c r="O6" s="1244"/>
      <c r="P6" s="1240"/>
      <c r="Q6" s="1241" t="s">
        <v>829</v>
      </c>
      <c r="R6" s="1241" t="s">
        <v>830</v>
      </c>
      <c r="S6" s="1241" t="s">
        <v>831</v>
      </c>
      <c r="T6" s="1242" t="s">
        <v>832</v>
      </c>
    </row>
    <row r="7" spans="1:20" ht="41.25" customHeight="1">
      <c r="A7" s="1236"/>
      <c r="B7" s="1238"/>
      <c r="C7" s="1238"/>
      <c r="D7" s="1238"/>
      <c r="E7" s="1238"/>
      <c r="F7" s="593" t="s">
        <v>833</v>
      </c>
      <c r="G7" s="593" t="s">
        <v>834</v>
      </c>
      <c r="H7" s="593" t="s">
        <v>835</v>
      </c>
      <c r="I7" s="593" t="s">
        <v>836</v>
      </c>
      <c r="J7" s="593" t="s">
        <v>837</v>
      </c>
      <c r="K7" s="593" t="s">
        <v>838</v>
      </c>
      <c r="L7" s="1189"/>
      <c r="M7" s="593" t="s">
        <v>839</v>
      </c>
      <c r="N7" s="593" t="s">
        <v>840</v>
      </c>
      <c r="O7" s="593" t="s">
        <v>841</v>
      </c>
      <c r="P7" s="593" t="s">
        <v>836</v>
      </c>
      <c r="Q7" s="1189"/>
      <c r="R7" s="1189"/>
      <c r="S7" s="1189"/>
      <c r="T7" s="1243"/>
    </row>
    <row r="8" spans="1:20" ht="25.05" customHeight="1">
      <c r="A8" s="399"/>
      <c r="B8" s="587"/>
      <c r="C8" s="587"/>
      <c r="D8" s="587"/>
      <c r="E8" s="587"/>
      <c r="F8" s="587"/>
      <c r="G8" s="587"/>
      <c r="H8" s="587"/>
      <c r="I8" s="587"/>
      <c r="J8" s="587"/>
      <c r="K8" s="587"/>
      <c r="L8" s="587"/>
      <c r="M8" s="587"/>
      <c r="N8" s="587"/>
      <c r="O8" s="587"/>
      <c r="P8" s="587"/>
      <c r="Q8" s="587"/>
      <c r="R8" s="587"/>
      <c r="S8" s="587"/>
      <c r="T8" s="588"/>
    </row>
    <row r="9" spans="1:20" ht="25.05" customHeight="1">
      <c r="A9" s="399"/>
      <c r="B9" s="587"/>
      <c r="C9" s="587"/>
      <c r="D9" s="587"/>
      <c r="E9" s="587"/>
      <c r="F9" s="587"/>
      <c r="G9" s="587"/>
      <c r="H9" s="587"/>
      <c r="I9" s="587"/>
      <c r="J9" s="587"/>
      <c r="K9" s="587"/>
      <c r="L9" s="587"/>
      <c r="M9" s="587"/>
      <c r="N9" s="587"/>
      <c r="O9" s="587"/>
      <c r="P9" s="587"/>
      <c r="Q9" s="587"/>
      <c r="R9" s="587"/>
      <c r="S9" s="587"/>
      <c r="T9" s="588"/>
    </row>
    <row r="10" spans="1:20" ht="25.05" customHeight="1">
      <c r="A10" s="399"/>
      <c r="B10" s="587"/>
      <c r="C10" s="587"/>
      <c r="D10" s="587"/>
      <c r="E10" s="587"/>
      <c r="F10" s="587"/>
      <c r="G10" s="587"/>
      <c r="H10" s="587"/>
      <c r="I10" s="587"/>
      <c r="J10" s="587"/>
      <c r="K10" s="587"/>
      <c r="L10" s="587"/>
      <c r="M10" s="587"/>
      <c r="N10" s="587"/>
      <c r="O10" s="587"/>
      <c r="P10" s="587"/>
      <c r="Q10" s="587"/>
      <c r="R10" s="587"/>
      <c r="S10" s="587"/>
      <c r="T10" s="588"/>
    </row>
    <row r="11" spans="1:20" ht="25.05" customHeight="1">
      <c r="A11" s="399"/>
      <c r="B11" s="587"/>
      <c r="C11" s="587"/>
      <c r="D11" s="587"/>
      <c r="E11" s="587"/>
      <c r="F11" s="587"/>
      <c r="G11" s="587"/>
      <c r="H11" s="587"/>
      <c r="I11" s="587"/>
      <c r="J11" s="587"/>
      <c r="K11" s="587"/>
      <c r="L11" s="587"/>
      <c r="M11" s="587"/>
      <c r="N11" s="587"/>
      <c r="O11" s="587"/>
      <c r="P11" s="587"/>
      <c r="Q11" s="587"/>
      <c r="R11" s="587"/>
      <c r="S11" s="587"/>
      <c r="T11" s="588"/>
    </row>
    <row r="12" spans="1:20" ht="25.05" customHeight="1">
      <c r="A12" s="399"/>
      <c r="B12" s="587"/>
      <c r="C12" s="587"/>
      <c r="D12" s="587"/>
      <c r="E12" s="587"/>
      <c r="F12" s="587"/>
      <c r="G12" s="587"/>
      <c r="H12" s="587"/>
      <c r="I12" s="587"/>
      <c r="J12" s="587"/>
      <c r="K12" s="587"/>
      <c r="L12" s="587"/>
      <c r="M12" s="587"/>
      <c r="N12" s="587"/>
      <c r="O12" s="587"/>
      <c r="P12" s="587"/>
      <c r="Q12" s="587"/>
      <c r="R12" s="587"/>
      <c r="S12" s="587"/>
      <c r="T12" s="588"/>
    </row>
    <row r="13" spans="1:20" ht="25.05" customHeight="1">
      <c r="A13" s="399"/>
      <c r="B13" s="587"/>
      <c r="C13" s="587"/>
      <c r="D13" s="587"/>
      <c r="E13" s="587"/>
      <c r="F13" s="587"/>
      <c r="G13" s="587"/>
      <c r="H13" s="587"/>
      <c r="I13" s="587"/>
      <c r="J13" s="587"/>
      <c r="K13" s="587"/>
      <c r="L13" s="587"/>
      <c r="M13" s="587"/>
      <c r="N13" s="587"/>
      <c r="O13" s="587"/>
      <c r="P13" s="587"/>
      <c r="Q13" s="587"/>
      <c r="R13" s="587"/>
      <c r="S13" s="587"/>
      <c r="T13" s="588"/>
    </row>
    <row r="14" spans="1:20" ht="25.05" customHeight="1">
      <c r="A14" s="399"/>
      <c r="B14" s="587"/>
      <c r="C14" s="587"/>
      <c r="D14" s="587"/>
      <c r="E14" s="587"/>
      <c r="F14" s="587"/>
      <c r="G14" s="587"/>
      <c r="H14" s="587"/>
      <c r="I14" s="587"/>
      <c r="J14" s="587"/>
      <c r="K14" s="587"/>
      <c r="L14" s="587"/>
      <c r="M14" s="587"/>
      <c r="N14" s="587"/>
      <c r="O14" s="587"/>
      <c r="P14" s="587"/>
      <c r="Q14" s="587"/>
      <c r="R14" s="587"/>
      <c r="S14" s="587"/>
      <c r="T14" s="588"/>
    </row>
    <row r="15" spans="1:20" ht="25.05" customHeight="1">
      <c r="A15" s="399"/>
      <c r="B15" s="587"/>
      <c r="C15" s="587"/>
      <c r="D15" s="587"/>
      <c r="E15" s="587"/>
      <c r="F15" s="587"/>
      <c r="G15" s="587"/>
      <c r="H15" s="587"/>
      <c r="I15" s="587"/>
      <c r="J15" s="587"/>
      <c r="K15" s="587"/>
      <c r="L15" s="587"/>
      <c r="M15" s="587"/>
      <c r="N15" s="587"/>
      <c r="O15" s="587"/>
      <c r="P15" s="587"/>
      <c r="Q15" s="587"/>
      <c r="R15" s="587"/>
      <c r="S15" s="587"/>
      <c r="T15" s="588"/>
    </row>
    <row r="16" spans="1:20" ht="25.05" customHeight="1">
      <c r="A16" s="399"/>
      <c r="B16" s="587"/>
      <c r="C16" s="587"/>
      <c r="D16" s="587"/>
      <c r="E16" s="587"/>
      <c r="F16" s="587"/>
      <c r="G16" s="587"/>
      <c r="H16" s="587"/>
      <c r="I16" s="587"/>
      <c r="J16" s="587"/>
      <c r="K16" s="587"/>
      <c r="L16" s="587"/>
      <c r="M16" s="587"/>
      <c r="N16" s="587"/>
      <c r="O16" s="587"/>
      <c r="P16" s="587"/>
      <c r="Q16" s="587"/>
      <c r="R16" s="587"/>
      <c r="S16" s="587"/>
      <c r="T16" s="588"/>
    </row>
    <row r="17" spans="1:20" ht="25.05" customHeight="1">
      <c r="A17" s="399"/>
      <c r="B17" s="587"/>
      <c r="C17" s="587"/>
      <c r="D17" s="587"/>
      <c r="E17" s="587"/>
      <c r="F17" s="587"/>
      <c r="G17" s="587"/>
      <c r="H17" s="587"/>
      <c r="I17" s="587"/>
      <c r="J17" s="587"/>
      <c r="K17" s="587"/>
      <c r="L17" s="587"/>
      <c r="M17" s="587"/>
      <c r="N17" s="587"/>
      <c r="O17" s="587"/>
      <c r="P17" s="587"/>
      <c r="Q17" s="587"/>
      <c r="R17" s="587"/>
      <c r="S17" s="587"/>
      <c r="T17" s="588"/>
    </row>
    <row r="18" spans="1:20" ht="25.05" customHeight="1">
      <c r="A18" s="399"/>
      <c r="B18" s="587"/>
      <c r="C18" s="587"/>
      <c r="D18" s="587"/>
      <c r="E18" s="587"/>
      <c r="F18" s="587"/>
      <c r="G18" s="587"/>
      <c r="H18" s="587"/>
      <c r="I18" s="587"/>
      <c r="J18" s="587"/>
      <c r="K18" s="587"/>
      <c r="L18" s="587"/>
      <c r="M18" s="587"/>
      <c r="N18" s="587"/>
      <c r="O18" s="587"/>
      <c r="P18" s="587"/>
      <c r="Q18" s="587"/>
      <c r="R18" s="587"/>
      <c r="S18" s="587"/>
      <c r="T18" s="588"/>
    </row>
    <row r="19" spans="1:20" ht="25.05" customHeight="1">
      <c r="A19" s="399"/>
      <c r="B19" s="587"/>
      <c r="C19" s="587"/>
      <c r="D19" s="587"/>
      <c r="E19" s="587"/>
      <c r="F19" s="587"/>
      <c r="G19" s="587"/>
      <c r="H19" s="587"/>
      <c r="I19" s="587"/>
      <c r="J19" s="587"/>
      <c r="K19" s="587"/>
      <c r="L19" s="587"/>
      <c r="M19" s="587"/>
      <c r="N19" s="587"/>
      <c r="O19" s="587"/>
      <c r="P19" s="587"/>
      <c r="Q19" s="587"/>
      <c r="R19" s="587"/>
      <c r="S19" s="587"/>
      <c r="T19" s="588"/>
    </row>
    <row r="20" spans="1:20" ht="25.05" customHeight="1">
      <c r="A20" s="399"/>
      <c r="B20" s="587"/>
      <c r="C20" s="587"/>
      <c r="D20" s="587"/>
      <c r="E20" s="587"/>
      <c r="F20" s="587"/>
      <c r="G20" s="587"/>
      <c r="H20" s="587"/>
      <c r="I20" s="587"/>
      <c r="J20" s="587"/>
      <c r="K20" s="587"/>
      <c r="L20" s="587"/>
      <c r="M20" s="587"/>
      <c r="N20" s="587"/>
      <c r="O20" s="587"/>
      <c r="P20" s="587"/>
      <c r="Q20" s="587"/>
      <c r="R20" s="587"/>
      <c r="S20" s="587"/>
      <c r="T20" s="588"/>
    </row>
    <row r="21" spans="1:20" ht="25.05" customHeight="1">
      <c r="A21" s="399"/>
      <c r="B21" s="587"/>
      <c r="C21" s="587"/>
      <c r="D21" s="587"/>
      <c r="E21" s="587"/>
      <c r="F21" s="587"/>
      <c r="G21" s="587"/>
      <c r="H21" s="587"/>
      <c r="I21" s="587"/>
      <c r="J21" s="587"/>
      <c r="K21" s="587"/>
      <c r="L21" s="587"/>
      <c r="M21" s="587"/>
      <c r="N21" s="587"/>
      <c r="O21" s="587"/>
      <c r="P21" s="587"/>
      <c r="Q21" s="587"/>
      <c r="R21" s="587"/>
      <c r="S21" s="587"/>
      <c r="T21" s="588"/>
    </row>
    <row r="22" spans="1:20" ht="25.05" customHeight="1">
      <c r="A22" s="399"/>
      <c r="B22" s="587"/>
      <c r="C22" s="587"/>
      <c r="D22" s="587"/>
      <c r="E22" s="587"/>
      <c r="F22" s="587"/>
      <c r="G22" s="587"/>
      <c r="H22" s="587"/>
      <c r="I22" s="587"/>
      <c r="J22" s="587"/>
      <c r="K22" s="587"/>
      <c r="L22" s="587"/>
      <c r="M22" s="587"/>
      <c r="N22" s="587"/>
      <c r="O22" s="587"/>
      <c r="P22" s="587"/>
      <c r="Q22" s="587"/>
      <c r="R22" s="587"/>
      <c r="S22" s="587"/>
      <c r="T22" s="588"/>
    </row>
    <row r="23" spans="1:20" ht="25.05" customHeight="1">
      <c r="A23" s="399"/>
      <c r="B23" s="587"/>
      <c r="C23" s="587"/>
      <c r="D23" s="587"/>
      <c r="E23" s="587"/>
      <c r="F23" s="587"/>
      <c r="G23" s="587"/>
      <c r="H23" s="587"/>
      <c r="I23" s="587"/>
      <c r="J23" s="587"/>
      <c r="K23" s="587"/>
      <c r="L23" s="587"/>
      <c r="M23" s="587"/>
      <c r="N23" s="587"/>
      <c r="O23" s="587"/>
      <c r="P23" s="587"/>
      <c r="Q23" s="587"/>
      <c r="R23" s="587"/>
      <c r="S23" s="587"/>
      <c r="T23" s="588"/>
    </row>
    <row r="24" spans="1:20" ht="25.05" customHeight="1">
      <c r="A24" s="399"/>
      <c r="B24" s="587"/>
      <c r="C24" s="587"/>
      <c r="D24" s="587"/>
      <c r="E24" s="587"/>
      <c r="F24" s="587"/>
      <c r="G24" s="587"/>
      <c r="H24" s="587"/>
      <c r="I24" s="587"/>
      <c r="J24" s="587"/>
      <c r="K24" s="587"/>
      <c r="L24" s="587"/>
      <c r="M24" s="587"/>
      <c r="N24" s="587"/>
      <c r="O24" s="587"/>
      <c r="P24" s="587"/>
      <c r="Q24" s="587"/>
      <c r="R24" s="587"/>
      <c r="S24" s="587"/>
      <c r="T24" s="588"/>
    </row>
    <row r="25" spans="1:20" ht="25.05" customHeight="1">
      <c r="A25" s="399"/>
      <c r="B25" s="587"/>
      <c r="C25" s="587"/>
      <c r="D25" s="587"/>
      <c r="E25" s="587"/>
      <c r="F25" s="587"/>
      <c r="G25" s="587"/>
      <c r="H25" s="587"/>
      <c r="I25" s="587"/>
      <c r="J25" s="587"/>
      <c r="K25" s="587"/>
      <c r="L25" s="587"/>
      <c r="M25" s="587"/>
      <c r="N25" s="587"/>
      <c r="O25" s="587"/>
      <c r="P25" s="587"/>
      <c r="Q25" s="587"/>
      <c r="R25" s="587"/>
      <c r="S25" s="587"/>
      <c r="T25" s="588"/>
    </row>
    <row r="26" spans="1:20" ht="25.05" customHeight="1">
      <c r="A26" s="594"/>
      <c r="B26" s="587"/>
      <c r="C26" s="587"/>
      <c r="D26" s="587"/>
      <c r="E26" s="587"/>
      <c r="F26" s="587"/>
      <c r="G26" s="587"/>
      <c r="H26" s="587"/>
      <c r="I26" s="587"/>
      <c r="J26" s="587"/>
      <c r="K26" s="587"/>
      <c r="L26" s="587"/>
      <c r="M26" s="587"/>
      <c r="N26" s="587"/>
      <c r="O26" s="587"/>
      <c r="P26" s="587"/>
      <c r="Q26" s="587"/>
      <c r="R26" s="587"/>
      <c r="S26" s="587"/>
      <c r="T26" s="588"/>
    </row>
    <row r="27" spans="1:20" ht="25.05" customHeight="1">
      <c r="A27" s="399"/>
      <c r="B27" s="587"/>
      <c r="C27" s="587"/>
      <c r="D27" s="587"/>
      <c r="E27" s="587"/>
      <c r="F27" s="587"/>
      <c r="G27" s="587"/>
      <c r="H27" s="587"/>
      <c r="I27" s="587"/>
      <c r="J27" s="587"/>
      <c r="K27" s="587"/>
      <c r="L27" s="587"/>
      <c r="M27" s="587"/>
      <c r="N27" s="587"/>
      <c r="O27" s="587"/>
      <c r="P27" s="587"/>
      <c r="Q27" s="587"/>
      <c r="R27" s="587"/>
      <c r="S27" s="587"/>
      <c r="T27" s="588"/>
    </row>
    <row r="28" spans="1:20" ht="24.75" customHeight="1">
      <c r="A28" s="399"/>
      <c r="B28" s="587"/>
      <c r="C28" s="587"/>
      <c r="D28" s="587"/>
      <c r="E28" s="587"/>
      <c r="F28" s="587"/>
      <c r="G28" s="587"/>
      <c r="H28" s="587"/>
      <c r="I28" s="587"/>
      <c r="J28" s="587"/>
      <c r="K28" s="587"/>
      <c r="L28" s="587"/>
      <c r="M28" s="587"/>
      <c r="N28" s="587"/>
      <c r="O28" s="587"/>
      <c r="P28" s="587"/>
      <c r="Q28" s="587"/>
      <c r="R28" s="587"/>
      <c r="S28" s="587"/>
      <c r="T28" s="588"/>
    </row>
    <row r="29" spans="1:20" ht="25.05" customHeight="1" thickBot="1">
      <c r="A29" s="589"/>
      <c r="B29" s="590"/>
      <c r="C29" s="590"/>
      <c r="D29" s="590"/>
      <c r="E29" s="590"/>
      <c r="F29" s="590"/>
      <c r="G29" s="590"/>
      <c r="H29" s="590"/>
      <c r="I29" s="590"/>
      <c r="J29" s="590"/>
      <c r="K29" s="590"/>
      <c r="L29" s="590"/>
      <c r="M29" s="590"/>
      <c r="N29" s="590"/>
      <c r="O29" s="590"/>
      <c r="P29" s="590"/>
      <c r="Q29" s="590"/>
      <c r="R29" s="590"/>
      <c r="S29" s="590"/>
      <c r="T29" s="591"/>
    </row>
    <row r="30" spans="1:20">
      <c r="A30" s="1" t="s">
        <v>842</v>
      </c>
    </row>
    <row r="31" spans="1:20">
      <c r="A31" s="1" t="s">
        <v>895</v>
      </c>
    </row>
    <row r="32" spans="1:20">
      <c r="A32" s="1" t="s">
        <v>853</v>
      </c>
    </row>
    <row r="33" spans="1:1">
      <c r="A33" s="1" t="s">
        <v>896</v>
      </c>
    </row>
  </sheetData>
  <mergeCells count="21">
    <mergeCell ref="A1:J1"/>
    <mergeCell ref="K4:T4"/>
    <mergeCell ref="A6:A7"/>
    <mergeCell ref="B6:B7"/>
    <mergeCell ref="C6:C7"/>
    <mergeCell ref="D6:D7"/>
    <mergeCell ref="A4:J4"/>
    <mergeCell ref="K1:T1"/>
    <mergeCell ref="F6:I6"/>
    <mergeCell ref="A2:J2"/>
    <mergeCell ref="L6:L7"/>
    <mergeCell ref="A3:J3"/>
    <mergeCell ref="K3:T3"/>
    <mergeCell ref="T6:T7"/>
    <mergeCell ref="M6:P6"/>
    <mergeCell ref="Q6:Q7"/>
    <mergeCell ref="R6:R7"/>
    <mergeCell ref="S6:S7"/>
    <mergeCell ref="E6:E7"/>
    <mergeCell ref="K2:T2"/>
    <mergeCell ref="J6:K6"/>
  </mergeCells>
  <phoneticPr fontId="14" type="noConversion"/>
  <pageMargins left="0.6692913385826772" right="0.6692913385826772" top="0.59055118110236227" bottom="0.78740157480314965" header="0.39370078740157483" footer="0.47244094488188981"/>
  <pageSetup paperSize="9" firstPageNumber="38" orientation="portrait" useFirstPageNumber="1" r:id="rId1"/>
  <headerFooter alignWithMargins="0">
    <oddFooter>&amp;C&amp;"Arial Unicode MS,標準"&amp;P</oddFooter>
  </headerFooter>
</worksheet>
</file>

<file path=xl/worksheets/sheet45.xml><?xml version="1.0" encoding="utf-8"?>
<worksheet xmlns="http://schemas.openxmlformats.org/spreadsheetml/2006/main" xmlns:r="http://schemas.openxmlformats.org/officeDocument/2006/relationships">
  <sheetPr codeName="Sheet42">
    <tabColor rgb="FFFFFFCC"/>
  </sheetPr>
  <dimension ref="A1:G65"/>
  <sheetViews>
    <sheetView zoomScaleNormal="100" zoomScaleSheetLayoutView="100" workbookViewId="0">
      <selection activeCell="B47" sqref="B47"/>
    </sheetView>
  </sheetViews>
  <sheetFormatPr defaultColWidth="9" defaultRowHeight="16.2"/>
  <cols>
    <col min="1" max="1" width="11.88671875" style="34" customWidth="1"/>
    <col min="2" max="2" width="12.88671875" style="34" customWidth="1"/>
    <col min="3" max="3" width="28.21875" style="34" customWidth="1"/>
    <col min="4" max="4" width="12.44140625" style="34" customWidth="1"/>
    <col min="5" max="5" width="11.77734375" style="34" customWidth="1"/>
    <col min="6" max="6" width="9.6640625" style="34" customWidth="1"/>
    <col min="7" max="7" width="9.21875" style="34" customWidth="1"/>
    <col min="8" max="16384" width="9" style="34"/>
  </cols>
  <sheetData>
    <row r="1" spans="1:7" ht="24.6">
      <c r="A1" s="992" t="s">
        <v>481</v>
      </c>
      <c r="B1" s="1245"/>
      <c r="C1" s="1245"/>
      <c r="D1" s="1245"/>
      <c r="E1" s="1245"/>
      <c r="F1" s="1245"/>
      <c r="G1" s="1245"/>
    </row>
    <row r="2" spans="1:7" ht="22.2">
      <c r="A2" s="1005" t="s">
        <v>482</v>
      </c>
      <c r="B2" s="1246"/>
      <c r="C2" s="1246"/>
      <c r="D2" s="1246"/>
      <c r="E2" s="1246"/>
      <c r="F2" s="1246"/>
      <c r="G2" s="1246"/>
    </row>
    <row r="3" spans="1:7" ht="22.2">
      <c r="A3" s="1004" t="s">
        <v>611</v>
      </c>
      <c r="B3" s="1246"/>
      <c r="C3" s="1246"/>
      <c r="D3" s="1246"/>
      <c r="E3" s="1246"/>
      <c r="F3" s="1246"/>
      <c r="G3" s="1246"/>
    </row>
    <row r="4" spans="1:7" s="292" customFormat="1" ht="19.8">
      <c r="A4" s="1082" t="s">
        <v>1065</v>
      </c>
      <c r="B4" s="1082"/>
      <c r="C4" s="1082"/>
      <c r="D4" s="1082"/>
      <c r="E4" s="1082"/>
      <c r="F4" s="1082"/>
      <c r="G4" s="1082"/>
    </row>
    <row r="5" spans="1:7" s="41" customFormat="1" ht="16.8" thickBot="1">
      <c r="A5" s="1253" t="s">
        <v>676</v>
      </c>
      <c r="B5" s="1253"/>
      <c r="C5" s="1253"/>
      <c r="D5" s="1253"/>
      <c r="E5" s="1253"/>
      <c r="F5" s="1253"/>
      <c r="G5" s="1253"/>
    </row>
    <row r="6" spans="1:7" ht="23.25" customHeight="1">
      <c r="A6" s="1249" t="s">
        <v>612</v>
      </c>
      <c r="B6" s="1247" t="s">
        <v>732</v>
      </c>
      <c r="C6" s="1066" t="s">
        <v>613</v>
      </c>
      <c r="D6" s="1247" t="s">
        <v>882</v>
      </c>
      <c r="E6" s="1251"/>
      <c r="F6" s="1251"/>
      <c r="G6" s="1252"/>
    </row>
    <row r="7" spans="1:7" ht="33.75" customHeight="1">
      <c r="A7" s="1250"/>
      <c r="B7" s="1248"/>
      <c r="C7" s="1248"/>
      <c r="D7" s="720" t="s">
        <v>320</v>
      </c>
      <c r="E7" s="720" t="s">
        <v>228</v>
      </c>
      <c r="F7" s="720" t="s">
        <v>77</v>
      </c>
      <c r="G7" s="816" t="s">
        <v>1091</v>
      </c>
    </row>
    <row r="8" spans="1:7" s="98" customFormat="1" ht="25.05" customHeight="1">
      <c r="A8" s="935">
        <f>SUM(A9,A10,A11,A12,A13,A14,A15,A16,A17)</f>
        <v>521350</v>
      </c>
      <c r="B8" s="936">
        <f>SUM(B9,B10,B11,B12,B13,B14,B15,B16,B17)</f>
        <v>553809</v>
      </c>
      <c r="C8" s="574" t="s">
        <v>487</v>
      </c>
      <c r="D8" s="939">
        <f>E8+F8+G8</f>
        <v>528321</v>
      </c>
      <c r="E8" s="936">
        <f>SUM(E9,E10,E11,E12,E13,E14,E15,E16,E17)</f>
        <v>527321</v>
      </c>
      <c r="F8" s="936">
        <f>SUM(F9,F10,F11,F12,F13,F14,F15,F16,F17)</f>
        <v>1000</v>
      </c>
      <c r="G8" s="543">
        <f>SUM(G9,G10,G11,G12,G13,G14,G15,G16,G17)</f>
        <v>0</v>
      </c>
    </row>
    <row r="9" spans="1:7" ht="25.05" customHeight="1">
      <c r="A9" s="207">
        <f>'40-41.各項費用彙計表(7級) '!A9</f>
        <v>12491</v>
      </c>
      <c r="B9" s="159">
        <f>'40-41.各項費用彙計表(7級) '!B9</f>
        <v>14805</v>
      </c>
      <c r="C9" s="202" t="s">
        <v>488</v>
      </c>
      <c r="D9" s="940">
        <f t="shared" ref="D9:D65" si="0">E9+F9+G9</f>
        <v>12888</v>
      </c>
      <c r="E9" s="159">
        <f>'40-41.各項費用彙計表(7級) '!E9</f>
        <v>12508</v>
      </c>
      <c r="F9" s="159">
        <f>'40-41.各項費用彙計表(7級) '!F9</f>
        <v>380</v>
      </c>
      <c r="G9" s="482">
        <f>'40-41.各項費用彙計表(7級) '!G9</f>
        <v>0</v>
      </c>
    </row>
    <row r="10" spans="1:7" ht="25.05" customHeight="1">
      <c r="A10" s="207">
        <f>'40-41.各項費用彙計表(7級) '!A13</f>
        <v>16532</v>
      </c>
      <c r="B10" s="159">
        <f>'40-41.各項費用彙計表(7級) '!B13</f>
        <v>19888</v>
      </c>
      <c r="C10" s="202" t="s">
        <v>492</v>
      </c>
      <c r="D10" s="940">
        <f t="shared" si="0"/>
        <v>18055</v>
      </c>
      <c r="E10" s="159">
        <f>'40-41.各項費用彙計表(7級) '!E13</f>
        <v>17975</v>
      </c>
      <c r="F10" s="159">
        <f>'40-41.各項費用彙計表(7級) '!F13</f>
        <v>80</v>
      </c>
      <c r="G10" s="482">
        <f>'40-41.各項費用彙計表(7級) '!G13</f>
        <v>0</v>
      </c>
    </row>
    <row r="11" spans="1:7" ht="25.05" customHeight="1">
      <c r="A11" s="207">
        <f>'40-41.各項費用彙計表(7級) '!A17</f>
        <v>4202</v>
      </c>
      <c r="B11" s="206">
        <f>'40-41.各項費用彙計表(7級) '!B17</f>
        <v>5456</v>
      </c>
      <c r="C11" s="202" t="s">
        <v>495</v>
      </c>
      <c r="D11" s="940">
        <f t="shared" si="0"/>
        <v>4484</v>
      </c>
      <c r="E11" s="159">
        <f>'40-41.各項費用彙計表(7級) '!E17</f>
        <v>4484</v>
      </c>
      <c r="F11" s="159">
        <f>'40-41.各項費用彙計表(7級) '!F17</f>
        <v>0</v>
      </c>
      <c r="G11" s="482">
        <f>'40-41.各項費用彙計表(7級) '!G17</f>
        <v>0</v>
      </c>
    </row>
    <row r="12" spans="1:7" s="41" customFormat="1" ht="25.05" customHeight="1">
      <c r="A12" s="207">
        <f>'40-41.各項費用彙計表(7級) '!A21</f>
        <v>9292</v>
      </c>
      <c r="B12" s="159">
        <f>'40-41.各項費用彙計表(7級) '!B21</f>
        <v>10131</v>
      </c>
      <c r="C12" s="202" t="s">
        <v>498</v>
      </c>
      <c r="D12" s="940">
        <f t="shared" si="0"/>
        <v>10111</v>
      </c>
      <c r="E12" s="206">
        <f>'40-41.各項費用彙計表(7級) '!E21</f>
        <v>10111</v>
      </c>
      <c r="F12" s="159">
        <f>'40-41.各項費用彙計表(7級) '!F21</f>
        <v>0</v>
      </c>
      <c r="G12" s="482">
        <f>'40-41.各項費用彙計表(7級) '!G21</f>
        <v>0</v>
      </c>
    </row>
    <row r="13" spans="1:7" s="41" customFormat="1" ht="25.05" customHeight="1">
      <c r="A13" s="207">
        <f>'40-41.各項費用彙計表(7級) '!A25</f>
        <v>9524</v>
      </c>
      <c r="B13" s="159">
        <f>'40-41.各項費用彙計表(7級) '!B25</f>
        <v>14438</v>
      </c>
      <c r="C13" s="202" t="s">
        <v>614</v>
      </c>
      <c r="D13" s="940">
        <f t="shared" si="0"/>
        <v>15839</v>
      </c>
      <c r="E13" s="206">
        <f>'40-41.各項費用彙計表(7級) '!E25</f>
        <v>15379</v>
      </c>
      <c r="F13" s="159">
        <f>'40-41.各項費用彙計表(7級) '!F25</f>
        <v>460</v>
      </c>
      <c r="G13" s="482">
        <f>'40-41.各項費用彙計表(7級) '!G25</f>
        <v>0</v>
      </c>
    </row>
    <row r="14" spans="1:7" s="41" customFormat="1" ht="25.05" customHeight="1">
      <c r="A14" s="207">
        <f>'40-41.各項費用彙計表(7級) '!A30</f>
        <v>152</v>
      </c>
      <c r="B14" s="159">
        <f>'40-41.各項費用彙計表(7級) '!B30</f>
        <v>143</v>
      </c>
      <c r="C14" s="202" t="s">
        <v>615</v>
      </c>
      <c r="D14" s="940">
        <f t="shared" si="0"/>
        <v>155</v>
      </c>
      <c r="E14" s="206">
        <f>'40-41.各項費用彙計表(7級) '!E30</f>
        <v>155</v>
      </c>
      <c r="F14" s="159">
        <f>'40-41.各項費用彙計表(7級) '!F30</f>
        <v>0</v>
      </c>
      <c r="G14" s="482">
        <f>'40-41.各項費用彙計表(7級) '!G30</f>
        <v>0</v>
      </c>
    </row>
    <row r="15" spans="1:7" s="41" customFormat="1" ht="25.05" customHeight="1">
      <c r="A15" s="207">
        <f>'40-41.各項費用彙計表(7級) '!A33</f>
        <v>106766</v>
      </c>
      <c r="B15" s="159">
        <f>'40-41.各項費用彙計表(7級) '!B33</f>
        <v>115151</v>
      </c>
      <c r="C15" s="204" t="s">
        <v>0</v>
      </c>
      <c r="D15" s="940">
        <f t="shared" si="0"/>
        <v>110534</v>
      </c>
      <c r="E15" s="206">
        <f>'40-41.各項費用彙計表(7級) '!E33</f>
        <v>110454</v>
      </c>
      <c r="F15" s="159">
        <f>'40-41.各項費用彙計表(7級) '!F33</f>
        <v>80</v>
      </c>
      <c r="G15" s="482">
        <f>'40-41.各項費用彙計表(7級) '!G33</f>
        <v>0</v>
      </c>
    </row>
    <row r="16" spans="1:7" s="41" customFormat="1" ht="25.05" customHeight="1">
      <c r="A16" s="207">
        <f>'40-41.各項費用彙計表(7級) '!A38</f>
        <v>362100</v>
      </c>
      <c r="B16" s="159">
        <f>'40-41.各項費用彙計表(7級) '!B38</f>
        <v>373497</v>
      </c>
      <c r="C16" s="202" t="s">
        <v>616</v>
      </c>
      <c r="D16" s="940">
        <f t="shared" si="0"/>
        <v>355955</v>
      </c>
      <c r="E16" s="206">
        <f>'40-41.各項費用彙計表(7級) '!E38</f>
        <v>355955</v>
      </c>
      <c r="F16" s="159">
        <f>'40-41.各項費用彙計表(7級) '!F38</f>
        <v>0</v>
      </c>
      <c r="G16" s="482">
        <f>'40-41.各項費用彙計表(7級) '!G38</f>
        <v>0</v>
      </c>
    </row>
    <row r="17" spans="1:7" ht="25.05" customHeight="1">
      <c r="A17" s="207">
        <f>'40-41.各項費用彙計表(7級) '!A48</f>
        <v>291</v>
      </c>
      <c r="B17" s="159">
        <f>'40-41.各項費用彙計表(7級) '!B48</f>
        <v>300</v>
      </c>
      <c r="C17" s="202" t="s">
        <v>617</v>
      </c>
      <c r="D17" s="940">
        <f t="shared" si="0"/>
        <v>300</v>
      </c>
      <c r="E17" s="206">
        <f>'40-41.各項費用彙計表(7級) '!E48</f>
        <v>300</v>
      </c>
      <c r="F17" s="159">
        <f>'40-41.各項費用彙計表(7級) '!F48</f>
        <v>0</v>
      </c>
      <c r="G17" s="482">
        <f>'40-41.各項費用彙計表(7級) '!G48</f>
        <v>0</v>
      </c>
    </row>
    <row r="18" spans="1:7" s="98" customFormat="1" ht="25.05" customHeight="1">
      <c r="A18" s="493">
        <f>SUM(A19,A20)</f>
        <v>22603</v>
      </c>
      <c r="B18" s="198">
        <f>SUM(B19,B20)</f>
        <v>28176</v>
      </c>
      <c r="C18" s="719" t="s">
        <v>6</v>
      </c>
      <c r="D18" s="703">
        <f t="shared" si="0"/>
        <v>27721</v>
      </c>
      <c r="E18" s="198">
        <f>SUM(E19,E20)</f>
        <v>27622</v>
      </c>
      <c r="F18" s="198">
        <f>SUM(F19,F20)</f>
        <v>99</v>
      </c>
      <c r="G18" s="555">
        <f>SUM(G19,G20)</f>
        <v>0</v>
      </c>
    </row>
    <row r="19" spans="1:7" ht="25.05" customHeight="1">
      <c r="A19" s="207">
        <f>'40-41.各項費用彙計表(7級) '!A51</f>
        <v>1166</v>
      </c>
      <c r="B19" s="159">
        <f>'40-41.各項費用彙計表(7級) '!B51</f>
        <v>1364</v>
      </c>
      <c r="C19" s="204" t="s">
        <v>618</v>
      </c>
      <c r="D19" s="940">
        <f t="shared" si="0"/>
        <v>1069</v>
      </c>
      <c r="E19" s="159">
        <f>'40-41.各項費用彙計表(7級) '!E51</f>
        <v>1069</v>
      </c>
      <c r="F19" s="159">
        <f>'40-41.各項費用彙計表(7級) '!F51</f>
        <v>0</v>
      </c>
      <c r="G19" s="482">
        <f>'40-41.各項費用彙計表(7級) '!G51</f>
        <v>0</v>
      </c>
    </row>
    <row r="20" spans="1:7" ht="25.05" customHeight="1">
      <c r="A20" s="207">
        <f>'40-41.各項費用彙計表(7級) '!A54</f>
        <v>21437</v>
      </c>
      <c r="B20" s="159">
        <f>'40-41.各項費用彙計表(7級) '!B54</f>
        <v>26812</v>
      </c>
      <c r="C20" s="204" t="s">
        <v>10</v>
      </c>
      <c r="D20" s="940">
        <f t="shared" si="0"/>
        <v>26652</v>
      </c>
      <c r="E20" s="159">
        <f>'40-41.各項費用彙計表(7級) '!E54</f>
        <v>26553</v>
      </c>
      <c r="F20" s="159">
        <f>'40-41.各項費用彙計表(7級) '!F54</f>
        <v>99</v>
      </c>
      <c r="G20" s="482">
        <f>'40-41.各項費用彙計表(7級) '!G54</f>
        <v>0</v>
      </c>
    </row>
    <row r="21" spans="1:7" s="98" customFormat="1" ht="25.05" customHeight="1">
      <c r="A21" s="493">
        <f>SUM(A22,A23,A24,A25,A26)+1</f>
        <v>17506</v>
      </c>
      <c r="B21" s="198">
        <f>SUM(B22,B23,B24,B25,B26)</f>
        <v>21511</v>
      </c>
      <c r="C21" s="53" t="s">
        <v>13</v>
      </c>
      <c r="D21" s="703">
        <f t="shared" si="0"/>
        <v>15168</v>
      </c>
      <c r="E21" s="198">
        <f>SUM(E22,E23,E24,E25,E26)</f>
        <v>15168</v>
      </c>
      <c r="F21" s="198">
        <f>SUM(F22,F23,F24,F25,F26)</f>
        <v>0</v>
      </c>
      <c r="G21" s="555">
        <f>SUM(G22,G23,G24,G25,G26)</f>
        <v>0</v>
      </c>
    </row>
    <row r="22" spans="1:7" ht="25.05" hidden="1" customHeight="1">
      <c r="A22" s="207">
        <f>'40-41.各項費用彙計表(7級) '!A61</f>
        <v>0</v>
      </c>
      <c r="B22" s="159">
        <f>'40-41.各項費用彙計表(7級) '!B61</f>
        <v>0</v>
      </c>
      <c r="C22" s="202" t="s">
        <v>619</v>
      </c>
      <c r="D22" s="703">
        <f t="shared" si="0"/>
        <v>0</v>
      </c>
      <c r="E22" s="159">
        <f>'40-41.各項費用彙計表(7級) '!E61</f>
        <v>0</v>
      </c>
      <c r="F22" s="159">
        <f>'40-41.各項費用彙計表(7級) '!F61</f>
        <v>0</v>
      </c>
      <c r="G22" s="482">
        <f>'40-41.各項費用彙計表(7級) '!G61</f>
        <v>0</v>
      </c>
    </row>
    <row r="23" spans="1:7" ht="25.05" customHeight="1">
      <c r="A23" s="207">
        <f>'40-41.各項費用彙計表(7級) '!A63</f>
        <v>1852</v>
      </c>
      <c r="B23" s="159">
        <f>'40-41.各項費用彙計表(7級) '!B63</f>
        <v>1777</v>
      </c>
      <c r="C23" s="202" t="s">
        <v>620</v>
      </c>
      <c r="D23" s="940">
        <f t="shared" si="0"/>
        <v>1833</v>
      </c>
      <c r="E23" s="159">
        <f>'40-41.各項費用彙計表(7級) '!E63</f>
        <v>1833</v>
      </c>
      <c r="F23" s="159">
        <f>'40-41.各項費用彙計表(7級) '!F63</f>
        <v>0</v>
      </c>
      <c r="G23" s="482">
        <f>'40-41.各項費用彙計表(7級) '!G63</f>
        <v>0</v>
      </c>
    </row>
    <row r="24" spans="1:7" ht="25.05" customHeight="1">
      <c r="A24" s="207">
        <f>'40-41.各項費用彙計表(7級) '!A65</f>
        <v>10773</v>
      </c>
      <c r="B24" s="159">
        <f>'40-41.各項費用彙計表(7級) '!B65</f>
        <v>14912</v>
      </c>
      <c r="C24" s="202" t="s">
        <v>621</v>
      </c>
      <c r="D24" s="940">
        <f t="shared" si="0"/>
        <v>8492</v>
      </c>
      <c r="E24" s="159">
        <f>'40-41.各項費用彙計表(7級) '!E65</f>
        <v>8492</v>
      </c>
      <c r="F24" s="159">
        <f>'40-41.各項費用彙計表(7級) '!F65</f>
        <v>0</v>
      </c>
      <c r="G24" s="482">
        <f>'40-41.各項費用彙計表(7級) '!G65</f>
        <v>0</v>
      </c>
    </row>
    <row r="25" spans="1:7" ht="25.05" customHeight="1">
      <c r="A25" s="207">
        <f>'40-41.各項費用彙計表(7級) '!A68</f>
        <v>4782</v>
      </c>
      <c r="B25" s="159">
        <f>'40-41.各項費用彙計表(7級) '!B68</f>
        <v>4752</v>
      </c>
      <c r="C25" s="202" t="s">
        <v>622</v>
      </c>
      <c r="D25" s="940">
        <f t="shared" si="0"/>
        <v>4743</v>
      </c>
      <c r="E25" s="159">
        <f>'40-41.各項費用彙計表(7級) '!E68</f>
        <v>4743</v>
      </c>
      <c r="F25" s="159">
        <f>'40-41.各項費用彙計表(7級) '!F68</f>
        <v>0</v>
      </c>
      <c r="G25" s="482">
        <f>'40-41.各項費用彙計表(7級) '!G68</f>
        <v>0</v>
      </c>
    </row>
    <row r="26" spans="1:7" ht="25.05" customHeight="1">
      <c r="A26" s="207">
        <f>'40-41.各項費用彙計表(7級) '!A70</f>
        <v>98</v>
      </c>
      <c r="B26" s="159">
        <f>'40-41.各項費用彙計表(7級) '!B70</f>
        <v>70</v>
      </c>
      <c r="C26" s="202" t="s">
        <v>623</v>
      </c>
      <c r="D26" s="940">
        <f t="shared" si="0"/>
        <v>100</v>
      </c>
      <c r="E26" s="159">
        <f>'40-41.各項費用彙計表(7級) '!E70</f>
        <v>100</v>
      </c>
      <c r="F26" s="159">
        <f>'40-41.各項費用彙計表(7級) '!F70</f>
        <v>0</v>
      </c>
      <c r="G26" s="482">
        <f>'40-41.各項費用彙計表(7級) '!G70</f>
        <v>0</v>
      </c>
    </row>
    <row r="27" spans="1:7" s="98" customFormat="1" ht="25.05" customHeight="1">
      <c r="A27" s="493">
        <f>SUM(A28,A29,A30,A31)</f>
        <v>30224</v>
      </c>
      <c r="B27" s="198">
        <f>SUM(B28,B29,B30,B31)</f>
        <v>42600</v>
      </c>
      <c r="C27" s="53" t="s">
        <v>624</v>
      </c>
      <c r="D27" s="703">
        <f t="shared" si="0"/>
        <v>42356</v>
      </c>
      <c r="E27" s="198">
        <f>SUM(E28,E29,E30,E31)</f>
        <v>42356</v>
      </c>
      <c r="F27" s="198">
        <f>SUM(F28,F29,F30,F31)</f>
        <v>0</v>
      </c>
      <c r="G27" s="555">
        <f>SUM(G28,G29,G30,G31)</f>
        <v>0</v>
      </c>
    </row>
    <row r="28" spans="1:7" ht="25.05" customHeight="1">
      <c r="A28" s="207">
        <f>'40-41.各項費用彙計表(7級) '!A73</f>
        <v>13635</v>
      </c>
      <c r="B28" s="159">
        <f>'40-41.各項費用彙計表(7級) '!B73</f>
        <v>16380</v>
      </c>
      <c r="C28" s="202" t="s">
        <v>625</v>
      </c>
      <c r="D28" s="940">
        <f t="shared" si="0"/>
        <v>17641</v>
      </c>
      <c r="E28" s="159">
        <f>'40-41.各項費用彙計表(7級) '!E73</f>
        <v>17641</v>
      </c>
      <c r="F28" s="159">
        <f>'40-41.各項費用彙計表(7級) '!F73</f>
        <v>0</v>
      </c>
      <c r="G28" s="482">
        <f>'40-41.各項費用彙計表(7級) '!G73</f>
        <v>0</v>
      </c>
    </row>
    <row r="29" spans="1:7" ht="25.05" customHeight="1">
      <c r="A29" s="207">
        <f>'40-41.各項費用彙計表(7級) '!A75</f>
        <v>986</v>
      </c>
      <c r="B29" s="159">
        <f>'40-41.各項費用彙計表(7級) '!B75</f>
        <v>1020</v>
      </c>
      <c r="C29" s="202" t="s">
        <v>626</v>
      </c>
      <c r="D29" s="940">
        <f t="shared" si="0"/>
        <v>1099</v>
      </c>
      <c r="E29" s="159">
        <f>'40-41.各項費用彙計表(7級) '!E75</f>
        <v>1099</v>
      </c>
      <c r="F29" s="159">
        <f>'40-41.各項費用彙計表(7級) '!F75</f>
        <v>0</v>
      </c>
      <c r="G29" s="482">
        <f>'40-41.各項費用彙計表(7級) '!G75</f>
        <v>0</v>
      </c>
    </row>
    <row r="30" spans="1:7" ht="25.05" customHeight="1">
      <c r="A30" s="207">
        <f>'40-41.各項費用彙計表(7級) '!A77</f>
        <v>947</v>
      </c>
      <c r="B30" s="159">
        <f>'40-41.各項費用彙計表(7級) '!B77</f>
        <v>2200</v>
      </c>
      <c r="C30" s="202" t="s">
        <v>627</v>
      </c>
      <c r="D30" s="940">
        <f t="shared" si="0"/>
        <v>2369</v>
      </c>
      <c r="E30" s="159">
        <f>'40-41.各項費用彙計表(7級) '!E77</f>
        <v>2369</v>
      </c>
      <c r="F30" s="159">
        <f>'40-41.各項費用彙計表(7級) '!F77</f>
        <v>0</v>
      </c>
      <c r="G30" s="482">
        <f>'40-41.各項費用彙計表(7級) '!G77</f>
        <v>0</v>
      </c>
    </row>
    <row r="31" spans="1:7" ht="25.05" customHeight="1">
      <c r="A31" s="207">
        <f>'40-41.各項費用彙計表(7級) '!A79</f>
        <v>14656</v>
      </c>
      <c r="B31" s="159">
        <f>'40-41.各項費用彙計表(7級) '!B79</f>
        <v>23000</v>
      </c>
      <c r="C31" s="202" t="s">
        <v>628</v>
      </c>
      <c r="D31" s="940">
        <f t="shared" si="0"/>
        <v>21247</v>
      </c>
      <c r="E31" s="159">
        <f>'40-41.各項費用彙計表(7級) '!E79</f>
        <v>21247</v>
      </c>
      <c r="F31" s="159">
        <f>'40-41.各項費用彙計表(7級) '!F79</f>
        <v>0</v>
      </c>
      <c r="G31" s="482">
        <f>'40-41.各項費用彙計表(7級) '!G79</f>
        <v>0</v>
      </c>
    </row>
    <row r="32" spans="1:7" s="98" customFormat="1" ht="25.05" customHeight="1">
      <c r="A32" s="493">
        <f>A33+A34+A35+A36</f>
        <v>12</v>
      </c>
      <c r="B32" s="198">
        <f>B34+B33+B35</f>
        <v>0</v>
      </c>
      <c r="C32" s="53" t="s">
        <v>1093</v>
      </c>
      <c r="D32" s="703">
        <f t="shared" si="0"/>
        <v>0</v>
      </c>
      <c r="E32" s="198">
        <f>E34+E33+E35</f>
        <v>0</v>
      </c>
      <c r="F32" s="198">
        <f>F34+F33+F35</f>
        <v>0</v>
      </c>
      <c r="G32" s="555">
        <f>G34+G33+G35</f>
        <v>0</v>
      </c>
    </row>
    <row r="33" spans="1:7" ht="25.05" hidden="1" customHeight="1">
      <c r="A33" s="207">
        <f>'40-41.各項費用彙計表(7級) '!A82</f>
        <v>0</v>
      </c>
      <c r="B33" s="159">
        <f>'40-41.各項費用彙計表(7級) '!B82</f>
        <v>0</v>
      </c>
      <c r="C33" s="202" t="s">
        <v>715</v>
      </c>
      <c r="D33" s="703">
        <f t="shared" si="0"/>
        <v>0</v>
      </c>
      <c r="E33" s="159">
        <f>'40-41.各項費用彙計表(7級) '!E82</f>
        <v>0</v>
      </c>
      <c r="F33" s="159">
        <f>'40-41.各項費用彙計表(7級) '!F82</f>
        <v>0</v>
      </c>
      <c r="G33" s="482">
        <f>'40-41.各項費用彙計表(7級) '!G82</f>
        <v>0</v>
      </c>
    </row>
    <row r="34" spans="1:7" ht="25.05" hidden="1" customHeight="1">
      <c r="A34" s="207">
        <f>'40-41.各項費用彙計表(7級) '!A84</f>
        <v>0</v>
      </c>
      <c r="B34" s="159">
        <f>'40-41.各項費用彙計表(7級) '!B84</f>
        <v>0</v>
      </c>
      <c r="C34" s="202" t="s">
        <v>629</v>
      </c>
      <c r="D34" s="703">
        <f t="shared" si="0"/>
        <v>0</v>
      </c>
      <c r="E34" s="159">
        <f>'40-41.各項費用彙計表(7級) '!E84</f>
        <v>0</v>
      </c>
      <c r="F34" s="159">
        <f>'40-41.各項費用彙計表(7級) '!F84</f>
        <v>0</v>
      </c>
      <c r="G34" s="482">
        <f>'40-41.各項費用彙計表(7級) '!G84</f>
        <v>0</v>
      </c>
    </row>
    <row r="35" spans="1:7" ht="25.05" customHeight="1">
      <c r="A35" s="207">
        <f>'40-41.各項費用彙計表(7級) '!A86</f>
        <v>0</v>
      </c>
      <c r="B35" s="159">
        <f>'40-41.各項費用彙計表(7級) '!B86</f>
        <v>0</v>
      </c>
      <c r="C35" s="202" t="s">
        <v>630</v>
      </c>
      <c r="D35" s="703">
        <f t="shared" si="0"/>
        <v>0</v>
      </c>
      <c r="E35" s="159">
        <f>'40-41.各項費用彙計表(7級) '!E86</f>
        <v>0</v>
      </c>
      <c r="F35" s="159">
        <f>'40-41.各項費用彙計表(7級) '!F86</f>
        <v>0</v>
      </c>
      <c r="G35" s="482">
        <f>'40-41.各項費用彙計表(7級) '!G86</f>
        <v>0</v>
      </c>
    </row>
    <row r="36" spans="1:7" ht="25.05" customHeight="1">
      <c r="A36" s="207">
        <f>'40-41.各項費用彙計表(7級) '!A87</f>
        <v>12</v>
      </c>
      <c r="B36" s="159">
        <v>0</v>
      </c>
      <c r="C36" s="202" t="s">
        <v>884</v>
      </c>
      <c r="D36" s="703">
        <f t="shared" si="0"/>
        <v>0</v>
      </c>
      <c r="E36" s="159">
        <v>0</v>
      </c>
      <c r="F36" s="159">
        <v>0</v>
      </c>
      <c r="G36" s="482">
        <v>0</v>
      </c>
    </row>
    <row r="37" spans="1:7" ht="21" customHeight="1" thickBot="1">
      <c r="A37" s="549"/>
      <c r="B37" s="335"/>
      <c r="C37" s="810"/>
      <c r="D37" s="722"/>
      <c r="E37" s="335"/>
      <c r="F37" s="335"/>
      <c r="G37" s="519"/>
    </row>
    <row r="38" spans="1:7" s="98" customFormat="1" ht="35.25" customHeight="1">
      <c r="A38" s="937">
        <f>A39</f>
        <v>1185</v>
      </c>
      <c r="B38" s="938">
        <f>B39</f>
        <v>1000</v>
      </c>
      <c r="C38" s="832" t="s">
        <v>744</v>
      </c>
      <c r="D38" s="941">
        <f t="shared" si="0"/>
        <v>0</v>
      </c>
      <c r="E38" s="938">
        <f>E39</f>
        <v>0</v>
      </c>
      <c r="F38" s="833">
        <f>F39</f>
        <v>0</v>
      </c>
      <c r="G38" s="834">
        <f>G39</f>
        <v>0</v>
      </c>
    </row>
    <row r="39" spans="1:7" ht="25.05" customHeight="1">
      <c r="A39" s="207">
        <f>'40-41.各項費用彙計表(7級) '!A90</f>
        <v>1185</v>
      </c>
      <c r="B39" s="206">
        <f>'40-41.各項費用彙計表(7級) '!B90</f>
        <v>1000</v>
      </c>
      <c r="C39" s="202" t="s">
        <v>745</v>
      </c>
      <c r="D39" s="940">
        <f t="shared" si="0"/>
        <v>0</v>
      </c>
      <c r="E39" s="159">
        <f>'40-41.各項費用彙計表(7級) '!E90</f>
        <v>0</v>
      </c>
      <c r="F39" s="159">
        <f>'40-41.各項費用彙計表(7級) '!F90</f>
        <v>0</v>
      </c>
      <c r="G39" s="482">
        <f>'40-41.各項費用彙計表(7級) '!G90</f>
        <v>0</v>
      </c>
    </row>
    <row r="40" spans="1:7" ht="25.05" hidden="1" customHeight="1">
      <c r="A40" s="493">
        <f>'40-41.各項費用彙計表(7級) '!A92</f>
        <v>0</v>
      </c>
      <c r="B40" s="159">
        <f>'40-41.各項費用彙計表(7級) '!B92</f>
        <v>0</v>
      </c>
      <c r="C40" s="53" t="s">
        <v>713</v>
      </c>
      <c r="D40" s="703">
        <f t="shared" si="0"/>
        <v>0</v>
      </c>
      <c r="E40" s="159">
        <f>'40-41.各項費用彙計表(7級) '!E92</f>
        <v>0</v>
      </c>
      <c r="F40" s="159">
        <f>'40-41.各項費用彙計表(7級) '!F92</f>
        <v>0</v>
      </c>
      <c r="G40" s="482">
        <f>'40-41.各項費用彙計表(7級) '!G92</f>
        <v>0</v>
      </c>
    </row>
    <row r="41" spans="1:7" ht="25.05" hidden="1" customHeight="1">
      <c r="A41" s="207">
        <f>'40-41.各項費用彙計表(7級) '!A93</f>
        <v>0</v>
      </c>
      <c r="B41" s="159">
        <f>'40-41.各項費用彙計表(7級) '!B93</f>
        <v>0</v>
      </c>
      <c r="C41" s="202" t="s">
        <v>714</v>
      </c>
      <c r="D41" s="703">
        <f t="shared" si="0"/>
        <v>0</v>
      </c>
      <c r="E41" s="159">
        <f>'40-41.各項費用彙計表(7級) '!E93</f>
        <v>0</v>
      </c>
      <c r="F41" s="159">
        <f>'40-41.各項費用彙計表(7級) '!F93</f>
        <v>0</v>
      </c>
      <c r="G41" s="482">
        <f>'40-41.各項費用彙計表(7級) '!G93</f>
        <v>0</v>
      </c>
    </row>
    <row r="42" spans="1:7" s="98" customFormat="1" ht="25.05" customHeight="1">
      <c r="A42" s="493">
        <f>A43</f>
        <v>12</v>
      </c>
      <c r="B42" s="159">
        <f>B43</f>
        <v>50</v>
      </c>
      <c r="C42" s="53" t="s">
        <v>631</v>
      </c>
      <c r="D42" s="703">
        <f t="shared" si="0"/>
        <v>50</v>
      </c>
      <c r="E42" s="159">
        <f>E43</f>
        <v>0</v>
      </c>
      <c r="F42" s="159">
        <f>F43</f>
        <v>0</v>
      </c>
      <c r="G42" s="555">
        <f>G43</f>
        <v>50</v>
      </c>
    </row>
    <row r="43" spans="1:7" ht="25.05" customHeight="1">
      <c r="A43" s="207">
        <f>'40-41.各項費用彙計表(7級) '!A96</f>
        <v>12</v>
      </c>
      <c r="B43" s="159">
        <f>'40-41.各項費用彙計表(7級) '!B96</f>
        <v>50</v>
      </c>
      <c r="C43" s="202" t="s">
        <v>632</v>
      </c>
      <c r="D43" s="940">
        <f t="shared" si="0"/>
        <v>50</v>
      </c>
      <c r="E43" s="159">
        <f>'40-41.各項費用彙計表(7級) '!E96</f>
        <v>0</v>
      </c>
      <c r="F43" s="159">
        <f>'40-41.各項費用彙計表(7級) '!F96</f>
        <v>0</v>
      </c>
      <c r="G43" s="482">
        <f>'40-41.各項費用彙計表(7級) '!G96</f>
        <v>50</v>
      </c>
    </row>
    <row r="44" spans="1:7" ht="25.05" customHeight="1">
      <c r="A44" s="207"/>
      <c r="B44" s="159"/>
      <c r="C44" s="202"/>
      <c r="D44" s="703"/>
      <c r="E44" s="159"/>
      <c r="F44" s="159"/>
      <c r="G44" s="482"/>
    </row>
    <row r="45" spans="1:7" ht="25.05" customHeight="1">
      <c r="A45" s="207"/>
      <c r="B45" s="159"/>
      <c r="C45" s="202"/>
      <c r="D45" s="703"/>
      <c r="E45" s="159"/>
      <c r="F45" s="159"/>
      <c r="G45" s="482"/>
    </row>
    <row r="46" spans="1:7" ht="25.05" customHeight="1">
      <c r="A46" s="207"/>
      <c r="B46" s="159"/>
      <c r="C46" s="202"/>
      <c r="D46" s="703"/>
      <c r="E46" s="159"/>
      <c r="F46" s="159"/>
      <c r="G46" s="482"/>
    </row>
    <row r="47" spans="1:7" ht="25.05" customHeight="1">
      <c r="A47" s="207"/>
      <c r="B47" s="159"/>
      <c r="C47" s="202"/>
      <c r="D47" s="703"/>
      <c r="E47" s="159"/>
      <c r="F47" s="159"/>
      <c r="G47" s="482"/>
    </row>
    <row r="48" spans="1:7" ht="25.05" customHeight="1">
      <c r="A48" s="207"/>
      <c r="B48" s="159"/>
      <c r="C48" s="202"/>
      <c r="D48" s="703"/>
      <c r="E48" s="159"/>
      <c r="F48" s="159"/>
      <c r="G48" s="482"/>
    </row>
    <row r="49" spans="1:7" ht="25.05" customHeight="1">
      <c r="A49" s="207"/>
      <c r="B49" s="159"/>
      <c r="C49" s="202"/>
      <c r="D49" s="703"/>
      <c r="E49" s="159"/>
      <c r="F49" s="159"/>
      <c r="G49" s="482"/>
    </row>
    <row r="50" spans="1:7" ht="25.05" customHeight="1">
      <c r="A50" s="207"/>
      <c r="B50" s="159"/>
      <c r="C50" s="202"/>
      <c r="D50" s="703"/>
      <c r="E50" s="159"/>
      <c r="F50" s="159"/>
      <c r="G50" s="482"/>
    </row>
    <row r="51" spans="1:7" ht="25.05" customHeight="1">
      <c r="A51" s="207"/>
      <c r="B51" s="159"/>
      <c r="C51" s="202"/>
      <c r="D51" s="703"/>
      <c r="E51" s="159"/>
      <c r="F51" s="159"/>
      <c r="G51" s="482"/>
    </row>
    <row r="52" spans="1:7" ht="25.05" customHeight="1">
      <c r="A52" s="207"/>
      <c r="B52" s="159"/>
      <c r="C52" s="202"/>
      <c r="D52" s="703"/>
      <c r="E52" s="159"/>
      <c r="F52" s="159"/>
      <c r="G52" s="482"/>
    </row>
    <row r="53" spans="1:7" ht="25.05" customHeight="1">
      <c r="A53" s="207"/>
      <c r="B53" s="159"/>
      <c r="C53" s="202"/>
      <c r="D53" s="703"/>
      <c r="E53" s="159"/>
      <c r="F53" s="159"/>
      <c r="G53" s="482"/>
    </row>
    <row r="54" spans="1:7" ht="25.05" customHeight="1">
      <c r="A54" s="207"/>
      <c r="B54" s="159"/>
      <c r="C54" s="202"/>
      <c r="D54" s="703"/>
      <c r="E54" s="159"/>
      <c r="F54" s="159"/>
      <c r="G54" s="482"/>
    </row>
    <row r="55" spans="1:7" ht="25.05" customHeight="1">
      <c r="A55" s="207"/>
      <c r="B55" s="159"/>
      <c r="C55" s="202"/>
      <c r="D55" s="703"/>
      <c r="E55" s="159"/>
      <c r="F55" s="159"/>
      <c r="G55" s="482"/>
    </row>
    <row r="56" spans="1:7" ht="25.05" customHeight="1">
      <c r="A56" s="207"/>
      <c r="B56" s="159"/>
      <c r="C56" s="202"/>
      <c r="D56" s="703"/>
      <c r="E56" s="159"/>
      <c r="F56" s="159"/>
      <c r="G56" s="482"/>
    </row>
    <row r="57" spans="1:7" ht="25.05" customHeight="1">
      <c r="A57" s="207"/>
      <c r="B57" s="159"/>
      <c r="C57" s="202"/>
      <c r="D57" s="703"/>
      <c r="E57" s="159"/>
      <c r="F57" s="159"/>
      <c r="G57" s="482"/>
    </row>
    <row r="58" spans="1:7" ht="25.05" customHeight="1">
      <c r="A58" s="207"/>
      <c r="B58" s="159"/>
      <c r="C58" s="202"/>
      <c r="D58" s="703"/>
      <c r="E58" s="159"/>
      <c r="F58" s="159"/>
      <c r="G58" s="482"/>
    </row>
    <row r="59" spans="1:7" ht="25.05" customHeight="1">
      <c r="A59" s="207"/>
      <c r="B59" s="159"/>
      <c r="C59" s="202"/>
      <c r="D59" s="703"/>
      <c r="E59" s="159"/>
      <c r="F59" s="159"/>
      <c r="G59" s="482"/>
    </row>
    <row r="60" spans="1:7" ht="25.05" customHeight="1">
      <c r="A60" s="207"/>
      <c r="B60" s="159"/>
      <c r="C60" s="202"/>
      <c r="D60" s="703"/>
      <c r="E60" s="159"/>
      <c r="F60" s="159"/>
      <c r="G60" s="482"/>
    </row>
    <row r="61" spans="1:7" ht="25.05" customHeight="1">
      <c r="A61" s="207"/>
      <c r="B61" s="159"/>
      <c r="C61" s="202"/>
      <c r="D61" s="703"/>
      <c r="E61" s="159"/>
      <c r="F61" s="159"/>
      <c r="G61" s="482"/>
    </row>
    <row r="62" spans="1:7" ht="25.05" customHeight="1">
      <c r="A62" s="207"/>
      <c r="B62" s="159"/>
      <c r="C62" s="202"/>
      <c r="D62" s="703"/>
      <c r="E62" s="159"/>
      <c r="F62" s="159"/>
      <c r="G62" s="482"/>
    </row>
    <row r="63" spans="1:7" ht="25.05" customHeight="1">
      <c r="A63" s="207"/>
      <c r="B63" s="159"/>
      <c r="C63" s="202"/>
      <c r="D63" s="703"/>
      <c r="E63" s="159"/>
      <c r="F63" s="159"/>
      <c r="G63" s="482"/>
    </row>
    <row r="64" spans="1:7" ht="25.05" customHeight="1">
      <c r="A64" s="207"/>
      <c r="B64" s="159"/>
      <c r="C64" s="202"/>
      <c r="D64" s="703"/>
      <c r="E64" s="159"/>
      <c r="F64" s="159"/>
      <c r="G64" s="482"/>
    </row>
    <row r="65" spans="1:7" s="98" customFormat="1" ht="35.4" customHeight="1" thickBot="1">
      <c r="A65" s="934">
        <f>SUM(A8+A18+A21+A27+A32+A38+A42+A40)-1</f>
        <v>592891</v>
      </c>
      <c r="B65" s="836">
        <f>SUM(B8+B18+B21+B27+B32+B38+B42)</f>
        <v>647146</v>
      </c>
      <c r="C65" s="835" t="s">
        <v>633</v>
      </c>
      <c r="D65" s="836">
        <f t="shared" si="0"/>
        <v>613616</v>
      </c>
      <c r="E65" s="837">
        <f>SUM(E8,E18,E21,E27,E32,E38,E42)</f>
        <v>612467</v>
      </c>
      <c r="F65" s="837">
        <f>SUM(F8,F18,F21,F27,F32,F38,F42)</f>
        <v>1099</v>
      </c>
      <c r="G65" s="838">
        <f>SUM(G8,G18,G21,G27,G32,G38,G42)</f>
        <v>50</v>
      </c>
    </row>
  </sheetData>
  <mergeCells count="9">
    <mergeCell ref="A1:G1"/>
    <mergeCell ref="A2:G2"/>
    <mergeCell ref="A3:G3"/>
    <mergeCell ref="A4:G4"/>
    <mergeCell ref="B6:B7"/>
    <mergeCell ref="A6:A7"/>
    <mergeCell ref="C6:C7"/>
    <mergeCell ref="D6:G6"/>
    <mergeCell ref="A5:G5"/>
  </mergeCells>
  <phoneticPr fontId="2" type="noConversion"/>
  <printOptions horizontalCentered="1"/>
  <pageMargins left="0.6692913385826772" right="0.6692913385826772" top="0.59055118110236227" bottom="0.78740157480314965" header="0.70866141732283472" footer="0.51181102362204722"/>
  <pageSetup paperSize="9" scale="91" firstPageNumber="44" orientation="portrait" blackAndWhite="1" useFirstPageNumber="1" r:id="rId1"/>
  <headerFooter scaleWithDoc="0" alignWithMargins="0">
    <oddFooter>&amp;C&amp;"Arial Unicode MS,標準"&amp;P</oddFooter>
  </headerFooter>
</worksheet>
</file>

<file path=xl/worksheets/sheet46.xml><?xml version="1.0" encoding="utf-8"?>
<worksheet xmlns="http://schemas.openxmlformats.org/spreadsheetml/2006/main" xmlns:r="http://schemas.openxmlformats.org/officeDocument/2006/relationships">
  <sheetPr codeName="Sheet43" enableFormatConditionsCalculation="0">
    <tabColor indexed="42"/>
  </sheetPr>
  <dimension ref="A1:H105"/>
  <sheetViews>
    <sheetView view="pageBreakPreview" topLeftCell="A7" zoomScale="80" zoomScaleNormal="100" zoomScaleSheetLayoutView="80" workbookViewId="0">
      <selection activeCell="E24" sqref="E24"/>
    </sheetView>
  </sheetViews>
  <sheetFormatPr defaultColWidth="9" defaultRowHeight="16.2"/>
  <cols>
    <col min="1" max="1" width="13.33203125" style="34" bestFit="1" customWidth="1"/>
    <col min="2" max="2" width="12.77734375" style="34" bestFit="1" customWidth="1"/>
    <col min="3" max="3" width="41.109375" style="34" customWidth="1"/>
    <col min="4" max="5" width="12.77734375" style="34" bestFit="1" customWidth="1"/>
    <col min="6" max="6" width="11.109375" style="34" customWidth="1"/>
    <col min="7" max="7" width="12" style="34" customWidth="1"/>
    <col min="8" max="8" width="18.33203125" style="34" customWidth="1"/>
    <col min="9" max="16384" width="9" style="34"/>
  </cols>
  <sheetData>
    <row r="1" spans="1:7" ht="24.6">
      <c r="A1" s="992" t="s">
        <v>152</v>
      </c>
      <c r="B1" s="1245"/>
      <c r="C1" s="1245"/>
      <c r="D1" s="1245"/>
      <c r="E1" s="1245"/>
      <c r="F1" s="1245"/>
      <c r="G1" s="1245"/>
    </row>
    <row r="2" spans="1:7" ht="22.2">
      <c r="A2" s="1005" t="s">
        <v>153</v>
      </c>
      <c r="B2" s="1246"/>
      <c r="C2" s="1246"/>
      <c r="D2" s="1246"/>
      <c r="E2" s="1246"/>
      <c r="F2" s="1246"/>
      <c r="G2" s="1246"/>
    </row>
    <row r="3" spans="1:7" ht="22.2">
      <c r="A3" s="1004" t="s">
        <v>137</v>
      </c>
      <c r="B3" s="1246"/>
      <c r="C3" s="1246"/>
      <c r="D3" s="1246"/>
      <c r="E3" s="1246"/>
      <c r="F3" s="1246"/>
      <c r="G3" s="1246"/>
    </row>
    <row r="4" spans="1:7" s="292" customFormat="1" ht="19.8">
      <c r="A4" s="1082" t="s">
        <v>1031</v>
      </c>
      <c r="B4" s="1082"/>
      <c r="C4" s="1082"/>
      <c r="D4" s="1082"/>
      <c r="E4" s="1082"/>
      <c r="F4" s="1082"/>
      <c r="G4" s="1082"/>
    </row>
    <row r="5" spans="1:7" s="41" customFormat="1" ht="16.8" thickBot="1">
      <c r="A5" s="1253" t="s">
        <v>679</v>
      </c>
      <c r="B5" s="1253"/>
      <c r="C5" s="1253"/>
      <c r="D5" s="1253"/>
      <c r="E5" s="1253"/>
      <c r="F5" s="1253"/>
      <c r="G5" s="1253"/>
    </row>
    <row r="6" spans="1:7" ht="23.25" customHeight="1">
      <c r="A6" s="1249" t="s">
        <v>61</v>
      </c>
      <c r="B6" s="1247" t="s">
        <v>732</v>
      </c>
      <c r="C6" s="1066" t="s">
        <v>58</v>
      </c>
      <c r="D6" s="1066" t="s">
        <v>882</v>
      </c>
      <c r="E6" s="1254"/>
      <c r="F6" s="1254"/>
      <c r="G6" s="1255"/>
    </row>
    <row r="7" spans="1:7" ht="46.5" customHeight="1">
      <c r="A7" s="1250"/>
      <c r="B7" s="1248"/>
      <c r="C7" s="1248"/>
      <c r="D7" s="720" t="s">
        <v>872</v>
      </c>
      <c r="E7" s="720" t="s">
        <v>873</v>
      </c>
      <c r="F7" s="720" t="s">
        <v>77</v>
      </c>
      <c r="G7" s="721" t="s">
        <v>874</v>
      </c>
    </row>
    <row r="8" spans="1:7" s="98" customFormat="1" ht="22.5" customHeight="1">
      <c r="A8" s="783">
        <f>SUM(A9,A13,A17,A21,A25,A30,A33,A38,A48)</f>
        <v>521350</v>
      </c>
      <c r="B8" s="198">
        <f>SUM(B9,B13,B17,B21,B25,B30,B33,B38,B48)</f>
        <v>553809</v>
      </c>
      <c r="C8" s="53" t="s">
        <v>313</v>
      </c>
      <c r="D8" s="703">
        <f>E8+F8+G8</f>
        <v>528321</v>
      </c>
      <c r="E8" s="198">
        <f>SUM(E9,E13,E17,E21,E25,E30,E33,E38,E48)</f>
        <v>527321</v>
      </c>
      <c r="F8" s="198">
        <f t="shared" ref="F8:G8" si="0">SUM(F9,F13,F17,F21,F25,F30,F33,F38,F48)</f>
        <v>1000</v>
      </c>
      <c r="G8" s="555">
        <f t="shared" si="0"/>
        <v>0</v>
      </c>
    </row>
    <row r="9" spans="1:7" ht="22.5" customHeight="1">
      <c r="A9" s="207">
        <f>SUM(A10:A12)</f>
        <v>12491</v>
      </c>
      <c r="B9" s="159">
        <f>SUM(B10:B12)</f>
        <v>14805</v>
      </c>
      <c r="C9" s="202" t="s">
        <v>149</v>
      </c>
      <c r="D9" s="703">
        <f t="shared" ref="D9:D73" si="1">E9+F9+G9</f>
        <v>12888</v>
      </c>
      <c r="E9" s="159">
        <f>SUM(E10:E12)</f>
        <v>12508</v>
      </c>
      <c r="F9" s="159">
        <f t="shared" ref="F9:G9" si="2">SUM(F10:F12)</f>
        <v>380</v>
      </c>
      <c r="G9" s="482">
        <f t="shared" si="2"/>
        <v>0</v>
      </c>
    </row>
    <row r="10" spans="1:7" s="41" customFormat="1" ht="22.5" customHeight="1">
      <c r="A10" s="207">
        <v>12123</v>
      </c>
      <c r="B10" s="159">
        <v>14370</v>
      </c>
      <c r="C10" s="334" t="s">
        <v>150</v>
      </c>
      <c r="D10" s="703">
        <f t="shared" si="1"/>
        <v>12370</v>
      </c>
      <c r="E10" s="159">
        <f>'21-22.勞務成本明細7級'!E11</f>
        <v>12000</v>
      </c>
      <c r="F10" s="159">
        <v>370</v>
      </c>
      <c r="G10" s="482">
        <v>0</v>
      </c>
    </row>
    <row r="11" spans="1:7" s="41" customFormat="1" ht="22.5" customHeight="1">
      <c r="A11" s="207">
        <v>272</v>
      </c>
      <c r="B11" s="159">
        <v>285</v>
      </c>
      <c r="C11" s="334" t="s">
        <v>151</v>
      </c>
      <c r="D11" s="703">
        <f t="shared" si="1"/>
        <v>368</v>
      </c>
      <c r="E11" s="159">
        <f>'21-22.勞務成本明細7級'!E12</f>
        <v>358</v>
      </c>
      <c r="F11" s="159">
        <v>10</v>
      </c>
      <c r="G11" s="482">
        <v>0</v>
      </c>
    </row>
    <row r="12" spans="1:7" ht="22.5" customHeight="1">
      <c r="A12" s="207">
        <v>96</v>
      </c>
      <c r="B12" s="159">
        <v>150</v>
      </c>
      <c r="C12" s="334" t="s">
        <v>416</v>
      </c>
      <c r="D12" s="703">
        <f t="shared" si="1"/>
        <v>150</v>
      </c>
      <c r="E12" s="159">
        <f>'21-22.勞務成本明細7級'!E13</f>
        <v>150</v>
      </c>
      <c r="F12" s="159">
        <v>0</v>
      </c>
      <c r="G12" s="482">
        <v>0</v>
      </c>
    </row>
    <row r="13" spans="1:7" ht="22.5" customHeight="1">
      <c r="A13" s="807">
        <f>SUM(A14:A16)-1</f>
        <v>16532</v>
      </c>
      <c r="B13" s="159">
        <f>SUM(B14:B16)</f>
        <v>19888</v>
      </c>
      <c r="C13" s="202" t="s">
        <v>95</v>
      </c>
      <c r="D13" s="703">
        <f t="shared" si="1"/>
        <v>18055</v>
      </c>
      <c r="E13" s="159">
        <f>SUM(E14:E16)</f>
        <v>17975</v>
      </c>
      <c r="F13" s="159">
        <f t="shared" ref="F13:G13" si="3">SUM(F14:F16)</f>
        <v>80</v>
      </c>
      <c r="G13" s="482">
        <f t="shared" si="3"/>
        <v>0</v>
      </c>
    </row>
    <row r="14" spans="1:7" ht="22.5" customHeight="1">
      <c r="A14" s="207">
        <v>11797</v>
      </c>
      <c r="B14" s="159">
        <v>12987</v>
      </c>
      <c r="C14" s="334" t="s">
        <v>417</v>
      </c>
      <c r="D14" s="703">
        <f t="shared" si="1"/>
        <v>12080</v>
      </c>
      <c r="E14" s="159">
        <f>'21-22.勞務成本明細7級'!E15</f>
        <v>12060</v>
      </c>
      <c r="F14" s="159">
        <v>20</v>
      </c>
      <c r="G14" s="482">
        <v>0</v>
      </c>
    </row>
    <row r="15" spans="1:7" ht="22.5" customHeight="1">
      <c r="A15" s="807">
        <v>1476</v>
      </c>
      <c r="B15" s="159">
        <v>2130</v>
      </c>
      <c r="C15" s="334" t="s">
        <v>418</v>
      </c>
      <c r="D15" s="703">
        <f t="shared" si="1"/>
        <v>2129</v>
      </c>
      <c r="E15" s="159">
        <f>'21-22.勞務成本明細7級'!E16</f>
        <v>2099</v>
      </c>
      <c r="F15" s="159">
        <v>30</v>
      </c>
      <c r="G15" s="482">
        <v>0</v>
      </c>
    </row>
    <row r="16" spans="1:7" ht="22.5" customHeight="1">
      <c r="A16" s="207">
        <v>3260</v>
      </c>
      <c r="B16" s="159">
        <v>4771</v>
      </c>
      <c r="C16" s="334" t="s">
        <v>419</v>
      </c>
      <c r="D16" s="703">
        <f t="shared" si="1"/>
        <v>3846</v>
      </c>
      <c r="E16" s="159">
        <f>'21-22.勞務成本明細7級'!E17</f>
        <v>3816</v>
      </c>
      <c r="F16" s="159">
        <v>30</v>
      </c>
      <c r="G16" s="482">
        <v>0</v>
      </c>
    </row>
    <row r="17" spans="1:7" ht="22.5" customHeight="1">
      <c r="A17" s="207">
        <f>SUM(A18:A20)</f>
        <v>4202</v>
      </c>
      <c r="B17" s="159">
        <f>SUM(B18:B20)</f>
        <v>5456</v>
      </c>
      <c r="C17" s="202" t="s">
        <v>291</v>
      </c>
      <c r="D17" s="703">
        <f t="shared" si="1"/>
        <v>4484</v>
      </c>
      <c r="E17" s="159">
        <f>SUM(E18:E20)</f>
        <v>4484</v>
      </c>
      <c r="F17" s="159">
        <f t="shared" ref="F17:G17" si="4">SUM(F18:F20)</f>
        <v>0</v>
      </c>
      <c r="G17" s="482">
        <f t="shared" si="4"/>
        <v>0</v>
      </c>
    </row>
    <row r="18" spans="1:7" ht="22.5" customHeight="1">
      <c r="A18" s="207">
        <v>3516</v>
      </c>
      <c r="B18" s="943">
        <v>4405</v>
      </c>
      <c r="C18" s="334" t="s">
        <v>96</v>
      </c>
      <c r="D18" s="703">
        <f t="shared" si="1"/>
        <v>3467</v>
      </c>
      <c r="E18" s="159">
        <f>'21-22.勞務成本明細7級'!E19</f>
        <v>3467</v>
      </c>
      <c r="F18" s="159">
        <v>0</v>
      </c>
      <c r="G18" s="482">
        <v>0</v>
      </c>
    </row>
    <row r="19" spans="1:7" ht="22.5" customHeight="1">
      <c r="A19" s="207">
        <v>661</v>
      </c>
      <c r="B19" s="159">
        <v>1021</v>
      </c>
      <c r="C19" s="334" t="s">
        <v>420</v>
      </c>
      <c r="D19" s="703">
        <f t="shared" si="1"/>
        <v>987</v>
      </c>
      <c r="E19" s="159">
        <f>'21-22.勞務成本明細7級'!E20</f>
        <v>987</v>
      </c>
      <c r="F19" s="159">
        <v>0</v>
      </c>
      <c r="G19" s="482">
        <v>0</v>
      </c>
    </row>
    <row r="20" spans="1:7" ht="22.5" customHeight="1">
      <c r="A20" s="207">
        <v>25</v>
      </c>
      <c r="B20" s="159">
        <v>30</v>
      </c>
      <c r="C20" s="334" t="s">
        <v>421</v>
      </c>
      <c r="D20" s="703">
        <f t="shared" si="1"/>
        <v>30</v>
      </c>
      <c r="E20" s="159">
        <f>'21-22.勞務成本明細7級'!E21</f>
        <v>30</v>
      </c>
      <c r="F20" s="159">
        <v>0</v>
      </c>
      <c r="G20" s="482">
        <v>0</v>
      </c>
    </row>
    <row r="21" spans="1:7" s="41" customFormat="1" ht="22.5" customHeight="1">
      <c r="A21" s="207">
        <f>SUM(A22:A24)</f>
        <v>9292</v>
      </c>
      <c r="B21" s="159">
        <f>SUM(B22:B24)</f>
        <v>10131</v>
      </c>
      <c r="C21" s="202" t="s">
        <v>97</v>
      </c>
      <c r="D21" s="703">
        <f t="shared" si="1"/>
        <v>10111</v>
      </c>
      <c r="E21" s="159">
        <f>SUM(E22:E24)</f>
        <v>10111</v>
      </c>
      <c r="F21" s="159">
        <f t="shared" ref="F21:G21" si="5">SUM(F22:F24)</f>
        <v>0</v>
      </c>
      <c r="G21" s="482">
        <f t="shared" si="5"/>
        <v>0</v>
      </c>
    </row>
    <row r="22" spans="1:7" s="41" customFormat="1" ht="22.5" customHeight="1">
      <c r="A22" s="207">
        <v>7512</v>
      </c>
      <c r="B22" s="159">
        <v>7996</v>
      </c>
      <c r="C22" s="334" t="s">
        <v>98</v>
      </c>
      <c r="D22" s="703">
        <f t="shared" si="1"/>
        <v>7815</v>
      </c>
      <c r="E22" s="159">
        <f>'21-22.勞務成本明細7級'!E23</f>
        <v>7815</v>
      </c>
      <c r="F22" s="159">
        <v>0</v>
      </c>
      <c r="G22" s="482">
        <v>0</v>
      </c>
    </row>
    <row r="23" spans="1:7" s="41" customFormat="1" ht="22.5" customHeight="1">
      <c r="A23" s="207">
        <v>1094</v>
      </c>
      <c r="B23" s="159">
        <v>935</v>
      </c>
      <c r="C23" s="334" t="s">
        <v>680</v>
      </c>
      <c r="D23" s="703">
        <f t="shared" si="1"/>
        <v>1296</v>
      </c>
      <c r="E23" s="159">
        <f>'21-22.勞務成本明細7級'!E24</f>
        <v>1296</v>
      </c>
      <c r="F23" s="159">
        <v>0</v>
      </c>
      <c r="G23" s="482">
        <v>0</v>
      </c>
    </row>
    <row r="24" spans="1:7" s="41" customFormat="1" ht="22.5" customHeight="1">
      <c r="A24" s="207">
        <v>686</v>
      </c>
      <c r="B24" s="159">
        <v>1200</v>
      </c>
      <c r="C24" s="334" t="s">
        <v>422</v>
      </c>
      <c r="D24" s="703">
        <f t="shared" si="1"/>
        <v>1000</v>
      </c>
      <c r="E24" s="159">
        <f>'21-22.勞務成本明細7級'!E25</f>
        <v>1000</v>
      </c>
      <c r="F24" s="159">
        <v>0</v>
      </c>
      <c r="G24" s="482">
        <v>0</v>
      </c>
    </row>
    <row r="25" spans="1:7" s="41" customFormat="1" ht="22.5" customHeight="1">
      <c r="A25" s="807">
        <f>SUM(A26:A29)+1</f>
        <v>9524</v>
      </c>
      <c r="B25" s="159">
        <f>SUM(B26:B29)</f>
        <v>14438</v>
      </c>
      <c r="C25" s="202" t="s">
        <v>314</v>
      </c>
      <c r="D25" s="703">
        <f t="shared" si="1"/>
        <v>15839</v>
      </c>
      <c r="E25" s="159">
        <f>SUM(E26:E29)</f>
        <v>15379</v>
      </c>
      <c r="F25" s="159">
        <f t="shared" ref="F25:G25" si="6">SUM(F26:F29)</f>
        <v>460</v>
      </c>
      <c r="G25" s="482">
        <f t="shared" si="6"/>
        <v>0</v>
      </c>
    </row>
    <row r="26" spans="1:7" s="41" customFormat="1" ht="22.5" customHeight="1">
      <c r="A26" s="207">
        <v>2537</v>
      </c>
      <c r="B26" s="159">
        <v>4800</v>
      </c>
      <c r="C26" s="334" t="s">
        <v>423</v>
      </c>
      <c r="D26" s="703">
        <f t="shared" si="1"/>
        <v>9848</v>
      </c>
      <c r="E26" s="159">
        <f>'21-22.勞務成本明細7級'!E27</f>
        <v>9848</v>
      </c>
      <c r="F26" s="159">
        <v>0</v>
      </c>
      <c r="G26" s="482">
        <v>0</v>
      </c>
    </row>
    <row r="27" spans="1:7" s="41" customFormat="1" ht="22.5" customHeight="1">
      <c r="A27" s="207">
        <v>6403</v>
      </c>
      <c r="B27" s="159">
        <v>9018</v>
      </c>
      <c r="C27" s="334" t="s">
        <v>424</v>
      </c>
      <c r="D27" s="703">
        <f t="shared" si="1"/>
        <v>5107</v>
      </c>
      <c r="E27" s="159">
        <f>'21-22.勞務成本明細7級'!E28</f>
        <v>4847</v>
      </c>
      <c r="F27" s="159">
        <v>260</v>
      </c>
      <c r="G27" s="482">
        <v>0</v>
      </c>
    </row>
    <row r="28" spans="1:7" s="41" customFormat="1" ht="22.5" customHeight="1">
      <c r="A28" s="207">
        <v>162</v>
      </c>
      <c r="B28" s="159">
        <v>260</v>
      </c>
      <c r="C28" s="334" t="s">
        <v>54</v>
      </c>
      <c r="D28" s="703">
        <f t="shared" si="1"/>
        <v>360</v>
      </c>
      <c r="E28" s="159">
        <f>'21-22.勞務成本明細7級'!E29</f>
        <v>260</v>
      </c>
      <c r="F28" s="159">
        <v>100</v>
      </c>
      <c r="G28" s="482">
        <v>0</v>
      </c>
    </row>
    <row r="29" spans="1:7" s="41" customFormat="1" ht="22.5" customHeight="1">
      <c r="A29" s="807">
        <v>421</v>
      </c>
      <c r="B29" s="159">
        <v>360</v>
      </c>
      <c r="C29" s="334" t="s">
        <v>425</v>
      </c>
      <c r="D29" s="703">
        <f t="shared" si="1"/>
        <v>524</v>
      </c>
      <c r="E29" s="159">
        <f>'21-22.勞務成本明細7級'!E30</f>
        <v>424</v>
      </c>
      <c r="F29" s="159">
        <v>100</v>
      </c>
      <c r="G29" s="482">
        <v>0</v>
      </c>
    </row>
    <row r="30" spans="1:7" s="41" customFormat="1" ht="22.5" customHeight="1">
      <c r="A30" s="207">
        <f>SUM(A31:A32)</f>
        <v>152</v>
      </c>
      <c r="B30" s="550">
        <f>SUM(B31:B32)</f>
        <v>143</v>
      </c>
      <c r="C30" s="202" t="s">
        <v>103</v>
      </c>
      <c r="D30" s="703">
        <f t="shared" si="1"/>
        <v>155</v>
      </c>
      <c r="E30" s="159">
        <f>SUM(E31:E32)</f>
        <v>155</v>
      </c>
      <c r="F30" s="159">
        <f t="shared" ref="F30:G30" si="7">SUM(F31:F32)</f>
        <v>0</v>
      </c>
      <c r="G30" s="482">
        <f t="shared" si="7"/>
        <v>0</v>
      </c>
    </row>
    <row r="31" spans="1:7" s="41" customFormat="1" ht="22.5" customHeight="1">
      <c r="A31" s="207">
        <v>7</v>
      </c>
      <c r="B31" s="159">
        <v>11</v>
      </c>
      <c r="C31" s="334" t="s">
        <v>426</v>
      </c>
      <c r="D31" s="703">
        <f t="shared" si="1"/>
        <v>11</v>
      </c>
      <c r="E31" s="159">
        <f>'21-22.勞務成本明細7級'!E32</f>
        <v>11</v>
      </c>
      <c r="F31" s="159">
        <v>0</v>
      </c>
      <c r="G31" s="482">
        <v>0</v>
      </c>
    </row>
    <row r="32" spans="1:7" s="41" customFormat="1" ht="22.5" customHeight="1">
      <c r="A32" s="207">
        <v>145</v>
      </c>
      <c r="B32" s="159">
        <v>132</v>
      </c>
      <c r="C32" s="334" t="s">
        <v>55</v>
      </c>
      <c r="D32" s="703">
        <f t="shared" si="1"/>
        <v>144</v>
      </c>
      <c r="E32" s="159">
        <f>'21-22.勞務成本明細7級'!E33</f>
        <v>144</v>
      </c>
      <c r="F32" s="159">
        <v>0</v>
      </c>
      <c r="G32" s="482">
        <v>0</v>
      </c>
    </row>
    <row r="33" spans="1:7" s="41" customFormat="1" ht="22.5" customHeight="1">
      <c r="A33" s="207">
        <f>SUM(A34:A37)</f>
        <v>106766</v>
      </c>
      <c r="B33" s="159">
        <f>SUM(B34:B37)</f>
        <v>115151</v>
      </c>
      <c r="C33" s="204" t="s">
        <v>292</v>
      </c>
      <c r="D33" s="703">
        <f t="shared" si="1"/>
        <v>110534</v>
      </c>
      <c r="E33" s="159">
        <f>SUM(E34:E37)</f>
        <v>110454</v>
      </c>
      <c r="F33" s="159">
        <f t="shared" ref="F33:G33" si="8">SUM(F34:F37)</f>
        <v>80</v>
      </c>
      <c r="G33" s="482">
        <f t="shared" si="8"/>
        <v>0</v>
      </c>
    </row>
    <row r="34" spans="1:7" s="41" customFormat="1" ht="22.5" customHeight="1">
      <c r="A34" s="207">
        <v>5933</v>
      </c>
      <c r="B34" s="159">
        <v>6678</v>
      </c>
      <c r="C34" s="556" t="s">
        <v>728</v>
      </c>
      <c r="D34" s="703">
        <f t="shared" si="1"/>
        <v>6033</v>
      </c>
      <c r="E34" s="159">
        <f>'21-22.勞務成本明細7級'!E35</f>
        <v>5953</v>
      </c>
      <c r="F34" s="159">
        <v>80</v>
      </c>
      <c r="G34" s="482">
        <v>0</v>
      </c>
    </row>
    <row r="35" spans="1:7" s="41" customFormat="1" ht="22.5" customHeight="1">
      <c r="A35" s="207">
        <v>21687</v>
      </c>
      <c r="B35" s="159">
        <v>23117</v>
      </c>
      <c r="C35" s="557" t="s">
        <v>652</v>
      </c>
      <c r="D35" s="703">
        <f t="shared" si="1"/>
        <v>20984</v>
      </c>
      <c r="E35" s="159">
        <f>'21-22.勞務成本明細7級'!E36</f>
        <v>20984</v>
      </c>
      <c r="F35" s="159">
        <v>0</v>
      </c>
      <c r="G35" s="482">
        <v>0</v>
      </c>
    </row>
    <row r="36" spans="1:7" s="41" customFormat="1" ht="22.5" customHeight="1">
      <c r="A36" s="207">
        <v>17065</v>
      </c>
      <c r="B36" s="159">
        <v>18126</v>
      </c>
      <c r="C36" s="557" t="s">
        <v>104</v>
      </c>
      <c r="D36" s="703">
        <f t="shared" si="1"/>
        <v>20724</v>
      </c>
      <c r="E36" s="159">
        <f>'21-22.勞務成本明細7級'!E37</f>
        <v>20724</v>
      </c>
      <c r="F36" s="159">
        <v>0</v>
      </c>
      <c r="G36" s="482">
        <v>0</v>
      </c>
    </row>
    <row r="37" spans="1:7" s="41" customFormat="1" ht="22.5" customHeight="1">
      <c r="A37" s="207">
        <v>62081</v>
      </c>
      <c r="B37" s="159">
        <v>67230</v>
      </c>
      <c r="C37" s="557" t="s">
        <v>105</v>
      </c>
      <c r="D37" s="703">
        <f t="shared" si="1"/>
        <v>62793</v>
      </c>
      <c r="E37" s="159">
        <f>'21-22.勞務成本明細7級'!E38</f>
        <v>62793</v>
      </c>
      <c r="F37" s="159">
        <v>0</v>
      </c>
      <c r="G37" s="482">
        <v>0</v>
      </c>
    </row>
    <row r="38" spans="1:7" s="41" customFormat="1" ht="24" customHeight="1">
      <c r="A38" s="207">
        <f>SUM(A39:A47)</f>
        <v>362100</v>
      </c>
      <c r="B38" s="159">
        <f>SUM(B39:B47)</f>
        <v>373497</v>
      </c>
      <c r="C38" s="202" t="s">
        <v>106</v>
      </c>
      <c r="D38" s="703">
        <f t="shared" si="1"/>
        <v>355955</v>
      </c>
      <c r="E38" s="159">
        <f>SUM(E39:E47)</f>
        <v>355955</v>
      </c>
      <c r="F38" s="159">
        <f t="shared" ref="F38:G38" si="9">SUM(F39:F47)</f>
        <v>0</v>
      </c>
      <c r="G38" s="482">
        <f t="shared" si="9"/>
        <v>0</v>
      </c>
    </row>
    <row r="39" spans="1:7" s="41" customFormat="1" ht="23.1" customHeight="1">
      <c r="A39" s="207">
        <v>50</v>
      </c>
      <c r="B39" s="159">
        <v>99</v>
      </c>
      <c r="C39" s="334" t="s">
        <v>107</v>
      </c>
      <c r="D39" s="703">
        <f t="shared" si="1"/>
        <v>52</v>
      </c>
      <c r="E39" s="159">
        <f>'21-22.勞務成本明細7級'!E40</f>
        <v>52</v>
      </c>
      <c r="F39" s="159">
        <v>0</v>
      </c>
      <c r="G39" s="482">
        <v>0</v>
      </c>
    </row>
    <row r="40" spans="1:7" s="41" customFormat="1" ht="23.1" customHeight="1">
      <c r="A40" s="207">
        <v>151</v>
      </c>
      <c r="B40" s="159">
        <v>21</v>
      </c>
      <c r="C40" s="334" t="s">
        <v>708</v>
      </c>
      <c r="D40" s="703">
        <f t="shared" si="1"/>
        <v>20</v>
      </c>
      <c r="E40" s="159">
        <f>'21-22.勞務成本明細7級'!E41</f>
        <v>20</v>
      </c>
      <c r="F40" s="159">
        <v>0</v>
      </c>
      <c r="G40" s="482">
        <v>0</v>
      </c>
    </row>
    <row r="41" spans="1:7" s="41" customFormat="1" ht="23.1" customHeight="1">
      <c r="A41" s="207">
        <v>98</v>
      </c>
      <c r="B41" s="159"/>
      <c r="C41" s="334" t="s">
        <v>875</v>
      </c>
      <c r="D41" s="703"/>
      <c r="E41" s="159">
        <f>'21-22.勞務成本明細7級'!E42</f>
        <v>0</v>
      </c>
      <c r="F41" s="159">
        <v>0</v>
      </c>
      <c r="G41" s="482">
        <v>0</v>
      </c>
    </row>
    <row r="42" spans="1:7" s="41" customFormat="1">
      <c r="A42" s="207">
        <v>2006</v>
      </c>
      <c r="B42" s="159">
        <v>2852</v>
      </c>
      <c r="C42" s="558" t="s">
        <v>729</v>
      </c>
      <c r="D42" s="703">
        <f t="shared" si="1"/>
        <v>2809</v>
      </c>
      <c r="E42" s="159">
        <f>'21-22.勞務成本明細7級'!E43</f>
        <v>2809</v>
      </c>
      <c r="F42" s="159">
        <v>0</v>
      </c>
      <c r="G42" s="482">
        <v>0</v>
      </c>
    </row>
    <row r="43" spans="1:7" s="41" customFormat="1" ht="23.1" customHeight="1">
      <c r="A43" s="207">
        <v>2743</v>
      </c>
      <c r="B43" s="159">
        <v>600</v>
      </c>
      <c r="C43" s="558" t="s">
        <v>721</v>
      </c>
      <c r="D43" s="703">
        <f t="shared" si="1"/>
        <v>600</v>
      </c>
      <c r="E43" s="159">
        <f>'21-22.勞務成本明細7級'!E44</f>
        <v>600</v>
      </c>
      <c r="F43" s="159">
        <v>0</v>
      </c>
      <c r="G43" s="482">
        <v>0</v>
      </c>
    </row>
    <row r="44" spans="1:7" s="41" customFormat="1" ht="23.1" customHeight="1" thickBot="1">
      <c r="A44" s="549">
        <v>1169</v>
      </c>
      <c r="B44" s="335">
        <v>1132</v>
      </c>
      <c r="C44" s="803" t="s">
        <v>730</v>
      </c>
      <c r="D44" s="722">
        <f t="shared" si="1"/>
        <v>689</v>
      </c>
      <c r="E44" s="335">
        <f>'21-22.勞務成本明細7級'!E45</f>
        <v>689</v>
      </c>
      <c r="F44" s="335">
        <v>0</v>
      </c>
      <c r="G44" s="519">
        <v>0</v>
      </c>
    </row>
    <row r="45" spans="1:7" s="41" customFormat="1" ht="23.1" customHeight="1">
      <c r="A45" s="797">
        <v>343529</v>
      </c>
      <c r="B45" s="798">
        <v>352043</v>
      </c>
      <c r="C45" s="799" t="s">
        <v>108</v>
      </c>
      <c r="D45" s="800">
        <f t="shared" si="1"/>
        <v>332109</v>
      </c>
      <c r="E45" s="798">
        <f>'21-22.勞務成本明細7級'!E46</f>
        <v>332109</v>
      </c>
      <c r="F45" s="798">
        <v>0</v>
      </c>
      <c r="G45" s="801">
        <v>0</v>
      </c>
    </row>
    <row r="46" spans="1:7" ht="23.1" customHeight="1">
      <c r="A46" s="207">
        <v>12318</v>
      </c>
      <c r="B46" s="159">
        <v>16750</v>
      </c>
      <c r="C46" s="334" t="s">
        <v>99</v>
      </c>
      <c r="D46" s="703">
        <f t="shared" si="1"/>
        <v>19676</v>
      </c>
      <c r="E46" s="159">
        <f>'21-22.勞務成本明細7級'!E47</f>
        <v>19676</v>
      </c>
      <c r="F46" s="159">
        <v>0</v>
      </c>
      <c r="G46" s="482">
        <v>0</v>
      </c>
    </row>
    <row r="47" spans="1:7" ht="23.1" customHeight="1">
      <c r="A47" s="207">
        <v>36</v>
      </c>
      <c r="B47" s="159">
        <v>0</v>
      </c>
      <c r="C47" s="334" t="s">
        <v>709</v>
      </c>
      <c r="D47" s="703">
        <f t="shared" si="1"/>
        <v>0</v>
      </c>
      <c r="E47" s="159">
        <f>'21-22.勞務成本明細7級'!E48</f>
        <v>0</v>
      </c>
      <c r="F47" s="159">
        <v>0</v>
      </c>
      <c r="G47" s="482">
        <v>0</v>
      </c>
    </row>
    <row r="48" spans="1:7" ht="23.1" customHeight="1">
      <c r="A48" s="207">
        <f>A49</f>
        <v>291</v>
      </c>
      <c r="B48" s="159">
        <f>B49</f>
        <v>300</v>
      </c>
      <c r="C48" s="202" t="s">
        <v>109</v>
      </c>
      <c r="D48" s="703">
        <f t="shared" si="1"/>
        <v>300</v>
      </c>
      <c r="E48" s="159">
        <f>E49</f>
        <v>300</v>
      </c>
      <c r="F48" s="159">
        <f t="shared" ref="F48:G48" si="10">F49</f>
        <v>0</v>
      </c>
      <c r="G48" s="482">
        <f t="shared" si="10"/>
        <v>0</v>
      </c>
    </row>
    <row r="49" spans="1:7" ht="23.1" customHeight="1">
      <c r="A49" s="207">
        <v>291</v>
      </c>
      <c r="B49" s="159">
        <v>300</v>
      </c>
      <c r="C49" s="334" t="s">
        <v>101</v>
      </c>
      <c r="D49" s="703">
        <f t="shared" si="1"/>
        <v>300</v>
      </c>
      <c r="E49" s="159">
        <f>'21-22.勞務成本明細7級'!E50</f>
        <v>300</v>
      </c>
      <c r="F49" s="159">
        <v>0</v>
      </c>
      <c r="G49" s="482">
        <v>0</v>
      </c>
    </row>
    <row r="50" spans="1:7" s="98" customFormat="1" ht="24.75" customHeight="1">
      <c r="A50" s="783">
        <f>SUM(A51,A54)</f>
        <v>22603</v>
      </c>
      <c r="B50" s="198">
        <f>SUM(B51,B54)</f>
        <v>28176</v>
      </c>
      <c r="C50" s="723" t="s">
        <v>100</v>
      </c>
      <c r="D50" s="703">
        <f t="shared" si="1"/>
        <v>27721</v>
      </c>
      <c r="E50" s="198">
        <f>SUM(E51,E54)</f>
        <v>27622</v>
      </c>
      <c r="F50" s="198">
        <f t="shared" ref="F50:G50" si="11">SUM(F51,F54)</f>
        <v>99</v>
      </c>
      <c r="G50" s="555">
        <f t="shared" si="11"/>
        <v>0</v>
      </c>
    </row>
    <row r="51" spans="1:7" ht="23.1" customHeight="1">
      <c r="A51" s="207">
        <f>SUM(A52:A53)</f>
        <v>1166</v>
      </c>
      <c r="B51" s="159">
        <f>SUM(B52:B53)</f>
        <v>1364</v>
      </c>
      <c r="C51" s="204" t="s">
        <v>110</v>
      </c>
      <c r="D51" s="703">
        <f t="shared" si="1"/>
        <v>1069</v>
      </c>
      <c r="E51" s="159">
        <f>SUM(E52:E53)</f>
        <v>1069</v>
      </c>
      <c r="F51" s="159">
        <f t="shared" ref="F51:G51" si="12">SUM(F52:F53)</f>
        <v>0</v>
      </c>
      <c r="G51" s="482">
        <f t="shared" si="12"/>
        <v>0</v>
      </c>
    </row>
    <row r="52" spans="1:7" ht="23.1" customHeight="1">
      <c r="A52" s="207">
        <v>235</v>
      </c>
      <c r="B52" s="159">
        <v>150</v>
      </c>
      <c r="C52" s="559" t="s">
        <v>111</v>
      </c>
      <c r="D52" s="703">
        <f t="shared" si="1"/>
        <v>204</v>
      </c>
      <c r="E52" s="159">
        <f>'21-22.勞務成本明細7級'!E53</f>
        <v>204</v>
      </c>
      <c r="F52" s="159">
        <v>0</v>
      </c>
      <c r="G52" s="482">
        <v>0</v>
      </c>
    </row>
    <row r="53" spans="1:7" ht="23.1" customHeight="1">
      <c r="A53" s="207">
        <v>931</v>
      </c>
      <c r="B53" s="159">
        <v>1214</v>
      </c>
      <c r="C53" s="559" t="s">
        <v>112</v>
      </c>
      <c r="D53" s="703">
        <f t="shared" si="1"/>
        <v>865</v>
      </c>
      <c r="E53" s="159">
        <f>'21-22.勞務成本明細7級'!E54</f>
        <v>865</v>
      </c>
      <c r="F53" s="159">
        <v>0</v>
      </c>
      <c r="G53" s="482">
        <v>0</v>
      </c>
    </row>
    <row r="54" spans="1:7" ht="23.1" customHeight="1">
      <c r="A54" s="807">
        <f>SUM(A55:A59)-1</f>
        <v>21437</v>
      </c>
      <c r="B54" s="159">
        <f>SUM(B55:B59)</f>
        <v>26812</v>
      </c>
      <c r="C54" s="204" t="s">
        <v>230</v>
      </c>
      <c r="D54" s="703">
        <f t="shared" si="1"/>
        <v>26652</v>
      </c>
      <c r="E54" s="159">
        <f>SUM(E55:E59)</f>
        <v>26553</v>
      </c>
      <c r="F54" s="159">
        <f t="shared" ref="F54:G54" si="13">SUM(F55:F59)</f>
        <v>99</v>
      </c>
      <c r="G54" s="482">
        <f t="shared" si="13"/>
        <v>0</v>
      </c>
    </row>
    <row r="55" spans="1:7" ht="23.1" customHeight="1">
      <c r="A55" s="807">
        <v>9634</v>
      </c>
      <c r="B55" s="159">
        <v>12480</v>
      </c>
      <c r="C55" s="559" t="s">
        <v>653</v>
      </c>
      <c r="D55" s="703">
        <f t="shared" si="1"/>
        <v>12026</v>
      </c>
      <c r="E55" s="159">
        <f>'21-22.勞務成本明細7級'!E56</f>
        <v>11927</v>
      </c>
      <c r="F55" s="159">
        <v>99</v>
      </c>
      <c r="G55" s="482">
        <v>0</v>
      </c>
    </row>
    <row r="56" spans="1:7" ht="23.1" customHeight="1">
      <c r="A56" s="207">
        <v>749</v>
      </c>
      <c r="B56" s="159">
        <v>767</v>
      </c>
      <c r="C56" s="559" t="s">
        <v>654</v>
      </c>
      <c r="D56" s="703">
        <f t="shared" si="1"/>
        <v>854</v>
      </c>
      <c r="E56" s="159">
        <f>'21-22.勞務成本明細7級'!E57</f>
        <v>854</v>
      </c>
      <c r="F56" s="159">
        <v>0</v>
      </c>
      <c r="G56" s="482">
        <v>0</v>
      </c>
    </row>
    <row r="57" spans="1:7" ht="23.1" customHeight="1">
      <c r="A57" s="207">
        <v>10583</v>
      </c>
      <c r="B57" s="159">
        <v>11090</v>
      </c>
      <c r="C57" s="334" t="s">
        <v>171</v>
      </c>
      <c r="D57" s="703">
        <f t="shared" si="1"/>
        <v>11301</v>
      </c>
      <c r="E57" s="159">
        <f>'21-22.勞務成本明細7級'!E58</f>
        <v>11301</v>
      </c>
      <c r="F57" s="159">
        <v>0</v>
      </c>
      <c r="G57" s="482">
        <v>0</v>
      </c>
    </row>
    <row r="58" spans="1:7" ht="23.1" customHeight="1">
      <c r="A58" s="207">
        <v>19</v>
      </c>
      <c r="B58" s="159">
        <v>18</v>
      </c>
      <c r="C58" s="558" t="s">
        <v>731</v>
      </c>
      <c r="D58" s="703">
        <f t="shared" si="1"/>
        <v>20</v>
      </c>
      <c r="E58" s="159">
        <f>'21-22.勞務成本明細7級'!E59</f>
        <v>20</v>
      </c>
      <c r="F58" s="159">
        <v>0</v>
      </c>
      <c r="G58" s="482">
        <v>0</v>
      </c>
    </row>
    <row r="59" spans="1:7" ht="23.1" customHeight="1">
      <c r="A59" s="207">
        <v>453</v>
      </c>
      <c r="B59" s="159">
        <v>2457</v>
      </c>
      <c r="C59" s="334" t="s">
        <v>113</v>
      </c>
      <c r="D59" s="703">
        <f t="shared" si="1"/>
        <v>2451</v>
      </c>
      <c r="E59" s="159">
        <f>'21-22.勞務成本明細7級'!E60</f>
        <v>2451</v>
      </c>
      <c r="F59" s="159">
        <v>0</v>
      </c>
      <c r="G59" s="482">
        <v>0</v>
      </c>
    </row>
    <row r="60" spans="1:7" s="98" customFormat="1" ht="24.75" customHeight="1">
      <c r="A60" s="783">
        <f>SUM(A61,A63,A65,A68,A70)+1</f>
        <v>17506</v>
      </c>
      <c r="B60" s="198">
        <f>SUM(B61,B63,B65,B68,B70)</f>
        <v>21511</v>
      </c>
      <c r="C60" s="53" t="s">
        <v>231</v>
      </c>
      <c r="D60" s="703">
        <f t="shared" si="1"/>
        <v>15168</v>
      </c>
      <c r="E60" s="198">
        <f>SUM(E61,E63,E65,E68,E70)</f>
        <v>15168</v>
      </c>
      <c r="F60" s="198">
        <f t="shared" ref="F60:G60" si="14">SUM(F61,F63,F65,F68,F70)</f>
        <v>0</v>
      </c>
      <c r="G60" s="555">
        <f t="shared" si="14"/>
        <v>0</v>
      </c>
    </row>
    <row r="61" spans="1:7" ht="23.1" customHeight="1">
      <c r="A61" s="207">
        <f>A62</f>
        <v>0</v>
      </c>
      <c r="B61" s="550">
        <f>B62</f>
        <v>0</v>
      </c>
      <c r="C61" s="202" t="s">
        <v>48</v>
      </c>
      <c r="D61" s="703">
        <f t="shared" si="1"/>
        <v>0</v>
      </c>
      <c r="E61" s="159">
        <f>E62</f>
        <v>0</v>
      </c>
      <c r="F61" s="159">
        <f t="shared" ref="F61:G61" si="15">F62</f>
        <v>0</v>
      </c>
      <c r="G61" s="482">
        <f t="shared" si="15"/>
        <v>0</v>
      </c>
    </row>
    <row r="62" spans="1:7" ht="23.1" customHeight="1">
      <c r="A62" s="207">
        <v>0</v>
      </c>
      <c r="B62" s="159">
        <v>0</v>
      </c>
      <c r="C62" s="334" t="s">
        <v>49</v>
      </c>
      <c r="D62" s="703">
        <f t="shared" si="1"/>
        <v>0</v>
      </c>
      <c r="E62" s="159">
        <v>0</v>
      </c>
      <c r="F62" s="159">
        <v>0</v>
      </c>
      <c r="G62" s="482">
        <v>0</v>
      </c>
    </row>
    <row r="63" spans="1:7" ht="23.1" customHeight="1">
      <c r="A63" s="207">
        <f>SUM(A64)</f>
        <v>1852</v>
      </c>
      <c r="B63" s="159">
        <f>SUM(B64)</f>
        <v>1777</v>
      </c>
      <c r="C63" s="202" t="s">
        <v>114</v>
      </c>
      <c r="D63" s="703">
        <f t="shared" si="1"/>
        <v>1833</v>
      </c>
      <c r="E63" s="159">
        <f>E64</f>
        <v>1833</v>
      </c>
      <c r="F63" s="159">
        <f t="shared" ref="F63:G63" si="16">F64</f>
        <v>0</v>
      </c>
      <c r="G63" s="482">
        <f t="shared" si="16"/>
        <v>0</v>
      </c>
    </row>
    <row r="64" spans="1:7" ht="23.1" customHeight="1">
      <c r="A64" s="207">
        <v>1852</v>
      </c>
      <c r="B64" s="159">
        <v>1777</v>
      </c>
      <c r="C64" s="334" t="s">
        <v>115</v>
      </c>
      <c r="D64" s="703">
        <f t="shared" si="1"/>
        <v>1833</v>
      </c>
      <c r="E64" s="159">
        <f>'21-22.勞務成本明細7級'!E65</f>
        <v>1833</v>
      </c>
      <c r="F64" s="159">
        <v>0</v>
      </c>
      <c r="G64" s="482">
        <v>0</v>
      </c>
    </row>
    <row r="65" spans="1:7" ht="23.1" customHeight="1">
      <c r="A65" s="207">
        <f>SUM(A66:A67)</f>
        <v>10773</v>
      </c>
      <c r="B65" s="159">
        <f>SUM(B66:B67)</f>
        <v>14912</v>
      </c>
      <c r="C65" s="202" t="s">
        <v>116</v>
      </c>
      <c r="D65" s="703">
        <f t="shared" si="1"/>
        <v>8492</v>
      </c>
      <c r="E65" s="159">
        <f>E66+E67</f>
        <v>8492</v>
      </c>
      <c r="F65" s="159">
        <f t="shared" ref="F65:G65" si="17">F66+F67</f>
        <v>0</v>
      </c>
      <c r="G65" s="482">
        <f t="shared" si="17"/>
        <v>0</v>
      </c>
    </row>
    <row r="66" spans="1:7" ht="23.1" customHeight="1">
      <c r="A66" s="207">
        <v>10496</v>
      </c>
      <c r="B66" s="159">
        <v>14342</v>
      </c>
      <c r="C66" s="334" t="s">
        <v>644</v>
      </c>
      <c r="D66" s="703">
        <f t="shared" si="1"/>
        <v>8196</v>
      </c>
      <c r="E66" s="159">
        <f>'21-22.勞務成本明細7級'!E67</f>
        <v>8196</v>
      </c>
      <c r="F66" s="159">
        <v>0</v>
      </c>
      <c r="G66" s="482">
        <v>0</v>
      </c>
    </row>
    <row r="67" spans="1:7" ht="23.1" customHeight="1">
      <c r="A67" s="207">
        <v>277</v>
      </c>
      <c r="B67" s="159">
        <v>570</v>
      </c>
      <c r="C67" s="334" t="s">
        <v>117</v>
      </c>
      <c r="D67" s="703">
        <f t="shared" si="1"/>
        <v>296</v>
      </c>
      <c r="E67" s="159">
        <f>'21-22.勞務成本明細7級'!E68</f>
        <v>296</v>
      </c>
      <c r="F67" s="159">
        <v>0</v>
      </c>
      <c r="G67" s="482">
        <v>0</v>
      </c>
    </row>
    <row r="68" spans="1:7" ht="21" customHeight="1">
      <c r="A68" s="207">
        <f>SUM(A69)</f>
        <v>4782</v>
      </c>
      <c r="B68" s="159">
        <f>SUM(B69)</f>
        <v>4752</v>
      </c>
      <c r="C68" s="202" t="s">
        <v>118</v>
      </c>
      <c r="D68" s="703">
        <f t="shared" si="1"/>
        <v>4743</v>
      </c>
      <c r="E68" s="159">
        <f>SUM(E69)</f>
        <v>4743</v>
      </c>
      <c r="F68" s="159">
        <f t="shared" ref="F68:G68" si="18">SUM(F69)</f>
        <v>0</v>
      </c>
      <c r="G68" s="482">
        <f t="shared" si="18"/>
        <v>0</v>
      </c>
    </row>
    <row r="69" spans="1:7" ht="21" customHeight="1">
      <c r="A69" s="207">
        <v>4782</v>
      </c>
      <c r="B69" s="159">
        <v>4752</v>
      </c>
      <c r="C69" s="334" t="s">
        <v>119</v>
      </c>
      <c r="D69" s="703">
        <f t="shared" si="1"/>
        <v>4743</v>
      </c>
      <c r="E69" s="159">
        <f>'21-22.勞務成本明細7級'!E70</f>
        <v>4743</v>
      </c>
      <c r="F69" s="159">
        <v>0</v>
      </c>
      <c r="G69" s="482">
        <v>0</v>
      </c>
    </row>
    <row r="70" spans="1:7" ht="21" customHeight="1">
      <c r="A70" s="207">
        <f>A71</f>
        <v>98</v>
      </c>
      <c r="B70" s="159">
        <f>B71</f>
        <v>70</v>
      </c>
      <c r="C70" s="202" t="s">
        <v>120</v>
      </c>
      <c r="D70" s="703">
        <f t="shared" si="1"/>
        <v>100</v>
      </c>
      <c r="E70" s="159">
        <f>E71</f>
        <v>100</v>
      </c>
      <c r="F70" s="159">
        <f t="shared" ref="F70:G70" si="19">F71</f>
        <v>0</v>
      </c>
      <c r="G70" s="482">
        <f t="shared" si="19"/>
        <v>0</v>
      </c>
    </row>
    <row r="71" spans="1:7" ht="21" customHeight="1">
      <c r="A71" s="207">
        <v>98</v>
      </c>
      <c r="B71" s="159">
        <v>70</v>
      </c>
      <c r="C71" s="334" t="s">
        <v>121</v>
      </c>
      <c r="D71" s="703">
        <f t="shared" si="1"/>
        <v>100</v>
      </c>
      <c r="E71" s="159">
        <f>'21-22.勞務成本明細7級'!E72</f>
        <v>100</v>
      </c>
      <c r="F71" s="159">
        <v>0</v>
      </c>
      <c r="G71" s="482">
        <v>0</v>
      </c>
    </row>
    <row r="72" spans="1:7" s="98" customFormat="1" ht="21" customHeight="1">
      <c r="A72" s="783">
        <f>SUM(A73,A75,A77,A79)</f>
        <v>30224</v>
      </c>
      <c r="B72" s="198">
        <f>SUM(B73,B75,B77,B79)</f>
        <v>42600</v>
      </c>
      <c r="C72" s="53" t="s">
        <v>160</v>
      </c>
      <c r="D72" s="703">
        <f t="shared" si="1"/>
        <v>42356</v>
      </c>
      <c r="E72" s="198">
        <f>SUM(E73,E75,E77,E79)</f>
        <v>42356</v>
      </c>
      <c r="F72" s="198">
        <f t="shared" ref="F72:G72" si="20">SUM(F73,F75,F77,F79)</f>
        <v>0</v>
      </c>
      <c r="G72" s="555">
        <f t="shared" si="20"/>
        <v>0</v>
      </c>
    </row>
    <row r="73" spans="1:7" ht="21" customHeight="1">
      <c r="A73" s="207">
        <f>SUM(A74)</f>
        <v>13635</v>
      </c>
      <c r="B73" s="159">
        <f>SUM(B74)</f>
        <v>16380</v>
      </c>
      <c r="C73" s="202" t="s">
        <v>122</v>
      </c>
      <c r="D73" s="703">
        <f t="shared" si="1"/>
        <v>17641</v>
      </c>
      <c r="E73" s="159">
        <f>SUM(E74)</f>
        <v>17641</v>
      </c>
      <c r="F73" s="159">
        <f t="shared" ref="F73:G73" si="21">SUM(F74)</f>
        <v>0</v>
      </c>
      <c r="G73" s="482">
        <f t="shared" si="21"/>
        <v>0</v>
      </c>
    </row>
    <row r="74" spans="1:7" ht="21" customHeight="1">
      <c r="A74" s="207">
        <v>13635</v>
      </c>
      <c r="B74" s="159">
        <v>16380</v>
      </c>
      <c r="C74" s="334" t="s">
        <v>102</v>
      </c>
      <c r="D74" s="703">
        <f t="shared" ref="D74:D98" si="22">E74+F74+G74</f>
        <v>17641</v>
      </c>
      <c r="E74" s="159">
        <f>'21-22.勞務成本明細7級'!E75</f>
        <v>17641</v>
      </c>
      <c r="F74" s="159">
        <v>0</v>
      </c>
      <c r="G74" s="482">
        <v>0</v>
      </c>
    </row>
    <row r="75" spans="1:7" ht="21" customHeight="1">
      <c r="A75" s="207">
        <f>SUM(A76)</f>
        <v>986</v>
      </c>
      <c r="B75" s="159">
        <f>SUM(B76)</f>
        <v>1020</v>
      </c>
      <c r="C75" s="202" t="s">
        <v>123</v>
      </c>
      <c r="D75" s="703">
        <f t="shared" si="22"/>
        <v>1099</v>
      </c>
      <c r="E75" s="159">
        <f>SUM(E76)</f>
        <v>1099</v>
      </c>
      <c r="F75" s="159">
        <f t="shared" ref="F75:G75" si="23">SUM(F76)</f>
        <v>0</v>
      </c>
      <c r="G75" s="482">
        <f t="shared" si="23"/>
        <v>0</v>
      </c>
    </row>
    <row r="76" spans="1:7" ht="21" customHeight="1">
      <c r="A76" s="207">
        <v>986</v>
      </c>
      <c r="B76" s="159">
        <v>1020</v>
      </c>
      <c r="C76" s="334" t="s">
        <v>78</v>
      </c>
      <c r="D76" s="703">
        <f t="shared" si="22"/>
        <v>1099</v>
      </c>
      <c r="E76" s="159">
        <f>'21-22.勞務成本明細7級'!E77</f>
        <v>1099</v>
      </c>
      <c r="F76" s="159"/>
      <c r="G76" s="482"/>
    </row>
    <row r="77" spans="1:7" ht="21" customHeight="1">
      <c r="A77" s="207">
        <f>SUM(A78)</f>
        <v>947</v>
      </c>
      <c r="B77" s="159">
        <f>SUM(B78)</f>
        <v>2200</v>
      </c>
      <c r="C77" s="202" t="s">
        <v>124</v>
      </c>
      <c r="D77" s="703">
        <f t="shared" si="22"/>
        <v>2369</v>
      </c>
      <c r="E77" s="159">
        <f>SUM(E78)</f>
        <v>2369</v>
      </c>
      <c r="F77" s="159">
        <f t="shared" ref="F77:G77" si="24">SUM(F78)</f>
        <v>0</v>
      </c>
      <c r="G77" s="482">
        <f t="shared" si="24"/>
        <v>0</v>
      </c>
    </row>
    <row r="78" spans="1:7" ht="21" customHeight="1">
      <c r="A78" s="207">
        <v>947</v>
      </c>
      <c r="B78" s="159">
        <v>2200</v>
      </c>
      <c r="C78" s="334" t="s">
        <v>79</v>
      </c>
      <c r="D78" s="703">
        <f t="shared" si="22"/>
        <v>2369</v>
      </c>
      <c r="E78" s="159">
        <f>'21-22.勞務成本明細7級'!E79</f>
        <v>2369</v>
      </c>
      <c r="F78" s="159"/>
      <c r="G78" s="482"/>
    </row>
    <row r="79" spans="1:7" ht="21" customHeight="1">
      <c r="A79" s="207">
        <f>SUM(A80)</f>
        <v>14656</v>
      </c>
      <c r="B79" s="159">
        <f>SUM(B80)</f>
        <v>23000</v>
      </c>
      <c r="C79" s="202" t="s">
        <v>125</v>
      </c>
      <c r="D79" s="703">
        <f t="shared" si="22"/>
        <v>21247</v>
      </c>
      <c r="E79" s="159">
        <f>SUM(E80)</f>
        <v>21247</v>
      </c>
      <c r="F79" s="159">
        <f t="shared" ref="F79:G79" si="25">SUM(F80)</f>
        <v>0</v>
      </c>
      <c r="G79" s="482">
        <f t="shared" si="25"/>
        <v>0</v>
      </c>
    </row>
    <row r="80" spans="1:7" ht="21" customHeight="1">
      <c r="A80" s="207">
        <v>14656</v>
      </c>
      <c r="B80" s="159">
        <v>23000</v>
      </c>
      <c r="C80" s="334" t="s">
        <v>126</v>
      </c>
      <c r="D80" s="703">
        <f t="shared" si="22"/>
        <v>21247</v>
      </c>
      <c r="E80" s="159">
        <f>'21-22.勞務成本明細7級'!E81</f>
        <v>21247</v>
      </c>
      <c r="F80" s="159">
        <v>0</v>
      </c>
      <c r="G80" s="482"/>
    </row>
    <row r="81" spans="1:8" s="98" customFormat="1" ht="21" customHeight="1" thickBot="1">
      <c r="A81" s="809">
        <f>A82+A84+A87</f>
        <v>12</v>
      </c>
      <c r="B81" s="804">
        <f>B82+B84+B87</f>
        <v>0</v>
      </c>
      <c r="C81" s="805" t="s">
        <v>741</v>
      </c>
      <c r="D81" s="722">
        <f>D82+D84+D87</f>
        <v>0</v>
      </c>
      <c r="E81" s="804">
        <f>E84+E82+E87</f>
        <v>0</v>
      </c>
      <c r="F81" s="804">
        <f t="shared" ref="F81" si="26">F84+F82+F86</f>
        <v>0</v>
      </c>
      <c r="G81" s="806">
        <f>G84+G82+G87</f>
        <v>0</v>
      </c>
      <c r="H81" s="728"/>
    </row>
    <row r="82" spans="1:8" s="98" customFormat="1" ht="21" customHeight="1">
      <c r="A82" s="797">
        <f>A83</f>
        <v>0</v>
      </c>
      <c r="B82" s="798">
        <f>B83</f>
        <v>0</v>
      </c>
      <c r="C82" s="802" t="s">
        <v>127</v>
      </c>
      <c r="D82" s="800">
        <f>D83</f>
        <v>0</v>
      </c>
      <c r="E82" s="798">
        <f>E83</f>
        <v>0</v>
      </c>
      <c r="F82" s="798">
        <f t="shared" ref="F82:G82" si="27">F83</f>
        <v>0</v>
      </c>
      <c r="G82" s="801">
        <f t="shared" si="27"/>
        <v>0</v>
      </c>
      <c r="H82" s="726"/>
    </row>
    <row r="83" spans="1:8" s="98" customFormat="1" ht="21" customHeight="1">
      <c r="A83" s="207">
        <v>0</v>
      </c>
      <c r="B83" s="159">
        <v>0</v>
      </c>
      <c r="C83" s="264" t="s">
        <v>128</v>
      </c>
      <c r="D83" s="703">
        <f t="shared" si="22"/>
        <v>0</v>
      </c>
      <c r="E83" s="159">
        <f>0</f>
        <v>0</v>
      </c>
      <c r="F83" s="159"/>
      <c r="G83" s="482">
        <f>0</f>
        <v>0</v>
      </c>
      <c r="H83" s="727"/>
    </row>
    <row r="84" spans="1:8" ht="21" customHeight="1">
      <c r="A84" s="207">
        <f>A85+A86</f>
        <v>0</v>
      </c>
      <c r="B84" s="159">
        <f>B85+B86</f>
        <v>0</v>
      </c>
      <c r="C84" s="202" t="s">
        <v>50</v>
      </c>
      <c r="D84" s="703">
        <f>D85+D86</f>
        <v>0</v>
      </c>
      <c r="E84" s="159">
        <f>E85+E86</f>
        <v>0</v>
      </c>
      <c r="F84" s="159">
        <f t="shared" ref="F84" si="28">F85</f>
        <v>0</v>
      </c>
      <c r="G84" s="482">
        <f>G85+G86</f>
        <v>0</v>
      </c>
      <c r="H84" s="726"/>
    </row>
    <row r="85" spans="1:8" ht="21" customHeight="1">
      <c r="A85" s="207">
        <v>0</v>
      </c>
      <c r="B85" s="159">
        <v>0</v>
      </c>
      <c r="C85" s="264" t="s">
        <v>876</v>
      </c>
      <c r="D85" s="703">
        <f t="shared" si="22"/>
        <v>0</v>
      </c>
      <c r="E85" s="159">
        <f>'21-22.勞務成本明細7級'!E86</f>
        <v>0</v>
      </c>
      <c r="F85" s="159">
        <v>0</v>
      </c>
      <c r="G85" s="482">
        <v>0</v>
      </c>
      <c r="H85" s="727"/>
    </row>
    <row r="86" spans="1:8" ht="21" customHeight="1">
      <c r="A86" s="207">
        <v>0</v>
      </c>
      <c r="B86" s="159">
        <v>0</v>
      </c>
      <c r="C86" s="264" t="s">
        <v>710</v>
      </c>
      <c r="D86" s="703">
        <f t="shared" si="22"/>
        <v>0</v>
      </c>
      <c r="E86" s="159">
        <f>'21-22.勞務成本明細7級'!E87</f>
        <v>0</v>
      </c>
      <c r="F86" s="159">
        <v>0</v>
      </c>
      <c r="G86" s="482">
        <v>0</v>
      </c>
      <c r="H86" s="116"/>
    </row>
    <row r="87" spans="1:8" ht="21" customHeight="1">
      <c r="A87" s="207">
        <f>A88</f>
        <v>12</v>
      </c>
      <c r="B87" s="159">
        <f>B88</f>
        <v>0</v>
      </c>
      <c r="C87" s="202" t="s">
        <v>883</v>
      </c>
      <c r="D87" s="703">
        <f>D88</f>
        <v>0</v>
      </c>
      <c r="E87" s="159">
        <f>E88</f>
        <v>0</v>
      </c>
      <c r="F87" s="159">
        <v>0</v>
      </c>
      <c r="G87" s="482">
        <v>0</v>
      </c>
      <c r="H87" s="726"/>
    </row>
    <row r="88" spans="1:8" ht="21" customHeight="1">
      <c r="A88" s="207">
        <v>12</v>
      </c>
      <c r="B88" s="159">
        <v>0</v>
      </c>
      <c r="C88" s="264" t="s">
        <v>877</v>
      </c>
      <c r="D88" s="738">
        <f>E88+F88+G88</f>
        <v>0</v>
      </c>
      <c r="E88" s="159">
        <f>'21-22.勞務成本明細7級'!E89</f>
        <v>0</v>
      </c>
      <c r="F88" s="159">
        <v>0</v>
      </c>
      <c r="G88" s="482">
        <f>0</f>
        <v>0</v>
      </c>
      <c r="H88" s="727"/>
    </row>
    <row r="89" spans="1:8" s="98" customFormat="1" ht="42.75" customHeight="1">
      <c r="A89" s="783">
        <f>A90</f>
        <v>1185</v>
      </c>
      <c r="B89" s="198">
        <f>B90</f>
        <v>1000</v>
      </c>
      <c r="C89" s="487" t="s">
        <v>743</v>
      </c>
      <c r="D89" s="703">
        <f t="shared" si="22"/>
        <v>0</v>
      </c>
      <c r="E89" s="159">
        <f>E90</f>
        <v>0</v>
      </c>
      <c r="F89" s="159">
        <f t="shared" ref="F89:G89" si="29">F90</f>
        <v>0</v>
      </c>
      <c r="G89" s="482">
        <f t="shared" si="29"/>
        <v>0</v>
      </c>
    </row>
    <row r="90" spans="1:8" ht="21" customHeight="1">
      <c r="A90" s="207">
        <f>A91</f>
        <v>1185</v>
      </c>
      <c r="B90" s="159">
        <f>B91</f>
        <v>1000</v>
      </c>
      <c r="C90" s="202" t="s">
        <v>745</v>
      </c>
      <c r="D90" s="703">
        <f t="shared" si="22"/>
        <v>0</v>
      </c>
      <c r="E90" s="159">
        <f>E91</f>
        <v>0</v>
      </c>
      <c r="F90" s="159">
        <f>F91</f>
        <v>0</v>
      </c>
      <c r="G90" s="482">
        <f>G91</f>
        <v>0</v>
      </c>
    </row>
    <row r="91" spans="1:8" ht="21" customHeight="1">
      <c r="A91" s="207">
        <v>1185</v>
      </c>
      <c r="B91" s="943">
        <v>1000</v>
      </c>
      <c r="C91" s="264" t="s">
        <v>1033</v>
      </c>
      <c r="D91" s="703">
        <f t="shared" si="22"/>
        <v>0</v>
      </c>
      <c r="E91" s="159">
        <f>'21-22.勞務成本明細7級'!E92</f>
        <v>0</v>
      </c>
      <c r="F91" s="159">
        <v>0</v>
      </c>
      <c r="G91" s="482"/>
    </row>
    <row r="92" spans="1:8" ht="21" customHeight="1">
      <c r="A92" s="493">
        <f>A93</f>
        <v>0</v>
      </c>
      <c r="B92" s="198">
        <f>B93</f>
        <v>0</v>
      </c>
      <c r="C92" s="53" t="s">
        <v>712</v>
      </c>
      <c r="D92" s="703">
        <f t="shared" si="22"/>
        <v>0</v>
      </c>
      <c r="E92" s="159">
        <f t="shared" ref="E92:G93" si="30">E93</f>
        <v>0</v>
      </c>
      <c r="F92" s="159">
        <f t="shared" si="30"/>
        <v>0</v>
      </c>
      <c r="G92" s="482">
        <f t="shared" si="30"/>
        <v>0</v>
      </c>
    </row>
    <row r="93" spans="1:8" ht="21" customHeight="1">
      <c r="A93" s="207">
        <f>A94</f>
        <v>0</v>
      </c>
      <c r="B93" s="159">
        <f>B94</f>
        <v>0</v>
      </c>
      <c r="C93" s="202" t="s">
        <v>714</v>
      </c>
      <c r="D93" s="703">
        <f t="shared" si="22"/>
        <v>0</v>
      </c>
      <c r="E93" s="159">
        <f t="shared" si="30"/>
        <v>0</v>
      </c>
      <c r="F93" s="159"/>
      <c r="G93" s="482">
        <f t="shared" si="30"/>
        <v>0</v>
      </c>
    </row>
    <row r="94" spans="1:8" ht="21" customHeight="1">
      <c r="A94" s="207">
        <v>0</v>
      </c>
      <c r="B94" s="159">
        <v>0</v>
      </c>
      <c r="C94" s="264" t="s">
        <v>711</v>
      </c>
      <c r="D94" s="703">
        <f t="shared" si="22"/>
        <v>0</v>
      </c>
      <c r="E94" s="159">
        <v>0</v>
      </c>
      <c r="F94" s="159">
        <v>0</v>
      </c>
      <c r="G94" s="482">
        <v>0</v>
      </c>
    </row>
    <row r="95" spans="1:8" s="98" customFormat="1" ht="21" customHeight="1">
      <c r="A95" s="783">
        <f>A96</f>
        <v>12</v>
      </c>
      <c r="B95" s="198">
        <f>B96</f>
        <v>50</v>
      </c>
      <c r="C95" s="53" t="s">
        <v>51</v>
      </c>
      <c r="D95" s="703">
        <f t="shared" si="22"/>
        <v>50</v>
      </c>
      <c r="E95" s="159">
        <f>E96</f>
        <v>0</v>
      </c>
      <c r="F95" s="159">
        <f t="shared" ref="F95:G95" si="31">F96</f>
        <v>0</v>
      </c>
      <c r="G95" s="482">
        <f t="shared" si="31"/>
        <v>50</v>
      </c>
    </row>
    <row r="96" spans="1:8" ht="21" customHeight="1">
      <c r="A96" s="207">
        <f>A97</f>
        <v>12</v>
      </c>
      <c r="B96" s="159">
        <f>B97</f>
        <v>50</v>
      </c>
      <c r="C96" s="202" t="s">
        <v>52</v>
      </c>
      <c r="D96" s="703">
        <f t="shared" si="22"/>
        <v>50</v>
      </c>
      <c r="E96" s="159">
        <f>E97</f>
        <v>0</v>
      </c>
      <c r="F96" s="159">
        <f>F97</f>
        <v>0</v>
      </c>
      <c r="G96" s="482">
        <f>G97</f>
        <v>50</v>
      </c>
    </row>
    <row r="97" spans="1:7" ht="21" customHeight="1">
      <c r="A97" s="207">
        <v>12</v>
      </c>
      <c r="B97" s="159">
        <v>50</v>
      </c>
      <c r="C97" s="264" t="s">
        <v>53</v>
      </c>
      <c r="D97" s="703">
        <f t="shared" si="22"/>
        <v>50</v>
      </c>
      <c r="E97" s="159">
        <v>0</v>
      </c>
      <c r="F97" s="159">
        <v>0</v>
      </c>
      <c r="G97" s="482">
        <v>50</v>
      </c>
    </row>
    <row r="98" spans="1:7" s="98" customFormat="1" ht="21" customHeight="1" thickBot="1">
      <c r="A98" s="808">
        <f>SUM(A8+A50+A60+A72+A81+A89+A92+A95)-1</f>
        <v>592891</v>
      </c>
      <c r="B98" s="336">
        <f>SUM(B8+B50+B60+B72+B81+B89+B92+B95)</f>
        <v>647146</v>
      </c>
      <c r="C98" s="560" t="s">
        <v>427</v>
      </c>
      <c r="D98" s="722">
        <f t="shared" si="22"/>
        <v>613616</v>
      </c>
      <c r="E98" s="336">
        <f>SUM(E8,E50,E60,E72,E81,E89,E92,E95)</f>
        <v>612467</v>
      </c>
      <c r="F98" s="336">
        <f t="shared" ref="F98:G98" si="32">SUM(F8,F50,F60,F72,F81,F89,F92,F95)</f>
        <v>1099</v>
      </c>
      <c r="G98" s="494">
        <f t="shared" si="32"/>
        <v>50</v>
      </c>
    </row>
    <row r="99" spans="1:7">
      <c r="A99" s="89"/>
      <c r="B99" s="89"/>
      <c r="C99" s="91"/>
      <c r="D99" s="91"/>
      <c r="E99" s="91"/>
      <c r="F99" s="91"/>
      <c r="G99" s="42"/>
    </row>
    <row r="100" spans="1:7">
      <c r="A100" s="89"/>
      <c r="B100" s="89"/>
      <c r="C100" s="91"/>
      <c r="D100" s="91"/>
      <c r="E100" s="91"/>
      <c r="F100" s="91"/>
      <c r="G100" s="42"/>
    </row>
    <row r="101" spans="1:7">
      <c r="A101" s="89"/>
      <c r="B101" s="89"/>
      <c r="C101" s="91"/>
      <c r="D101" s="91"/>
      <c r="E101" s="91"/>
      <c r="F101" s="91"/>
      <c r="G101" s="42"/>
    </row>
    <row r="102" spans="1:7">
      <c r="A102" s="89"/>
      <c r="B102" s="89"/>
      <c r="C102" s="91"/>
      <c r="D102" s="91"/>
      <c r="E102" s="91"/>
      <c r="F102" s="91"/>
      <c r="G102" s="42"/>
    </row>
    <row r="103" spans="1:7">
      <c r="A103" s="89"/>
      <c r="B103" s="89"/>
      <c r="C103" s="91"/>
      <c r="D103" s="91"/>
      <c r="E103" s="91"/>
      <c r="F103" s="91"/>
      <c r="G103" s="42"/>
    </row>
    <row r="104" spans="1:7">
      <c r="A104" s="89"/>
      <c r="B104" s="89"/>
      <c r="C104" s="91"/>
      <c r="D104" s="91"/>
      <c r="E104" s="91"/>
      <c r="F104" s="91"/>
      <c r="G104" s="42"/>
    </row>
    <row r="105" spans="1:7">
      <c r="A105" s="89"/>
      <c r="B105" s="89"/>
      <c r="C105" s="91"/>
      <c r="D105" s="91"/>
      <c r="E105" s="91"/>
      <c r="F105" s="91"/>
      <c r="G105" s="42"/>
    </row>
  </sheetData>
  <mergeCells count="9">
    <mergeCell ref="A1:G1"/>
    <mergeCell ref="A2:G2"/>
    <mergeCell ref="A3:G3"/>
    <mergeCell ref="A4:G4"/>
    <mergeCell ref="B6:B7"/>
    <mergeCell ref="A6:A7"/>
    <mergeCell ref="C6:C7"/>
    <mergeCell ref="A5:G5"/>
    <mergeCell ref="D6:G6"/>
  </mergeCells>
  <phoneticPr fontId="2" type="noConversion"/>
  <printOptions horizontalCentered="1"/>
  <pageMargins left="0.6692913385826772" right="0.6692913385826772" top="0.59055118110236227" bottom="0.78740157480314965" header="0.70866141732283472" footer="0.51181102362204722"/>
  <pageSetup paperSize="9" scale="76" firstPageNumber="40" orientation="portrait" blackAndWhite="1" useFirstPageNumber="1" r:id="rId1"/>
  <headerFooter alignWithMargins="0">
    <oddFooter>&amp;C&amp;"Arial Unicode MS,標準"&amp;P</oddFooter>
  </headerFooter>
</worksheet>
</file>

<file path=xl/worksheets/sheet47.xml><?xml version="1.0" encoding="utf-8"?>
<worksheet xmlns="http://schemas.openxmlformats.org/spreadsheetml/2006/main" xmlns:r="http://schemas.openxmlformats.org/officeDocument/2006/relationships">
  <dimension ref="A16:I16"/>
  <sheetViews>
    <sheetView zoomScale="50" workbookViewId="0">
      <selection activeCell="B63" sqref="B63"/>
    </sheetView>
  </sheetViews>
  <sheetFormatPr defaultColWidth="9" defaultRowHeight="16.2"/>
  <cols>
    <col min="1" max="8" width="9" style="1"/>
    <col min="9" max="9" width="14.109375" style="1" customWidth="1"/>
    <col min="10" max="16384" width="9" style="1"/>
  </cols>
  <sheetData>
    <row r="16" spans="1:9" ht="49.8">
      <c r="A16" s="971" t="s">
        <v>800</v>
      </c>
      <c r="B16" s="971"/>
      <c r="C16" s="971"/>
      <c r="D16" s="971"/>
      <c r="E16" s="971"/>
      <c r="F16" s="971"/>
      <c r="G16" s="971"/>
      <c r="H16" s="971"/>
      <c r="I16" s="971"/>
    </row>
  </sheetData>
  <mergeCells count="1">
    <mergeCell ref="A16:I16"/>
  </mergeCells>
  <phoneticPr fontId="14" type="noConversion"/>
  <pageMargins left="0.74803149606299213" right="0.74803149606299213" top="0.98425196850393704" bottom="0.98425196850393704" header="0.51181102362204722" footer="0.51181102362204722"/>
  <pageSetup paperSize="9" firstPageNumber="46" orientation="portrait" useFirstPageNumber="1" r:id="rId1"/>
  <headerFooter alignWithMargins="0">
    <oddFooter>&amp;C&amp;"Arial,標準"&amp;P</oddFooter>
  </headerFooter>
</worksheet>
</file>

<file path=xl/worksheets/sheet48.xml><?xml version="1.0" encoding="utf-8"?>
<worksheet xmlns="http://schemas.openxmlformats.org/spreadsheetml/2006/main" xmlns:r="http://schemas.openxmlformats.org/officeDocument/2006/relationships">
  <sheetPr codeName="Sheet44" enableFormatConditionsCalculation="0">
    <tabColor indexed="42"/>
  </sheetPr>
  <dimension ref="A16:I16"/>
  <sheetViews>
    <sheetView zoomScale="50" workbookViewId="0">
      <selection activeCell="J26" sqref="J26"/>
    </sheetView>
  </sheetViews>
  <sheetFormatPr defaultColWidth="9" defaultRowHeight="16.2"/>
  <cols>
    <col min="1" max="8" width="9" style="1"/>
    <col min="9" max="9" width="14.109375" style="1" customWidth="1"/>
    <col min="10" max="16384" width="9" style="1"/>
  </cols>
  <sheetData>
    <row r="16" spans="1:9" ht="49.8">
      <c r="A16" s="971" t="s">
        <v>757</v>
      </c>
      <c r="B16" s="971"/>
      <c r="C16" s="971"/>
      <c r="D16" s="971"/>
      <c r="E16" s="971"/>
      <c r="F16" s="971"/>
      <c r="G16" s="971"/>
      <c r="H16" s="971"/>
      <c r="I16" s="971"/>
    </row>
  </sheetData>
  <mergeCells count="1">
    <mergeCell ref="A16:I16"/>
  </mergeCells>
  <phoneticPr fontId="14" type="noConversion"/>
  <pageMargins left="0.75" right="0.75" top="1" bottom="1" header="0.5" footer="0.5"/>
  <pageSetup paperSize="9" firstPageNumber="43" orientation="portrait" useFirstPageNumber="1" r:id="rId1"/>
  <headerFooter alignWithMargins="0">
    <oddFooter>&amp;C&amp;"Arial Unicode MS,標準"&amp;P</oddFooter>
  </headerFooter>
</worksheet>
</file>

<file path=xl/worksheets/sheet49.xml><?xml version="1.0" encoding="utf-8"?>
<worksheet xmlns="http://schemas.openxmlformats.org/spreadsheetml/2006/main" xmlns:r="http://schemas.openxmlformats.org/officeDocument/2006/relationships">
  <sheetPr codeName="Sheet45"/>
  <dimension ref="A16:I16"/>
  <sheetViews>
    <sheetView zoomScale="50" workbookViewId="0">
      <selection activeCell="W41" sqref="V41:W41"/>
    </sheetView>
  </sheetViews>
  <sheetFormatPr defaultColWidth="9" defaultRowHeight="16.2"/>
  <cols>
    <col min="1" max="8" width="9" style="1"/>
    <col min="9" max="9" width="14.109375" style="1" customWidth="1"/>
    <col min="10" max="16384" width="9" style="1"/>
  </cols>
  <sheetData>
    <row r="16" spans="1:9" ht="49.8">
      <c r="A16" s="971" t="s">
        <v>400</v>
      </c>
      <c r="B16" s="971"/>
      <c r="C16" s="971"/>
      <c r="D16" s="971"/>
      <c r="E16" s="971"/>
      <c r="F16" s="971"/>
      <c r="G16" s="971"/>
      <c r="H16" s="971"/>
      <c r="I16" s="971"/>
    </row>
  </sheetData>
  <mergeCells count="1">
    <mergeCell ref="A16:I16"/>
  </mergeCells>
  <phoneticPr fontId="14" type="noConversion"/>
  <pageMargins left="0.75" right="0.75" top="1" bottom="1" header="0.5" footer="0.5"/>
  <pageSetup paperSize="9" firstPageNumber="30" orientation="portrait" r:id="rId1"/>
  <headerFooter alignWithMargins="0"/>
</worksheet>
</file>

<file path=xl/worksheets/sheet5.xml><?xml version="1.0" encoding="utf-8"?>
<worksheet xmlns="http://schemas.openxmlformats.org/spreadsheetml/2006/main" xmlns:r="http://schemas.openxmlformats.org/officeDocument/2006/relationships">
  <sheetPr codeName="Sheet6">
    <tabColor rgb="FFFFFFCC"/>
  </sheetPr>
  <dimension ref="A1:H47"/>
  <sheetViews>
    <sheetView topLeftCell="A28" zoomScaleNormal="100" workbookViewId="0">
      <selection activeCell="F32" sqref="F32"/>
    </sheetView>
  </sheetViews>
  <sheetFormatPr defaultColWidth="11.6640625" defaultRowHeight="16.2"/>
  <cols>
    <col min="1" max="1" width="21.77734375" style="1" customWidth="1"/>
    <col min="2" max="6" width="11.6640625" style="1" customWidth="1"/>
    <col min="7" max="16384" width="11.6640625" style="1"/>
  </cols>
  <sheetData>
    <row r="1" spans="1:8" ht="24.6">
      <c r="A1" s="957" t="s">
        <v>152</v>
      </c>
      <c r="B1" s="957"/>
      <c r="C1" s="957"/>
      <c r="D1" s="957"/>
      <c r="E1" s="957"/>
      <c r="F1" s="957"/>
      <c r="G1" s="455"/>
      <c r="H1" s="455"/>
    </row>
    <row r="2" spans="1:8" ht="22.2">
      <c r="A2" s="958" t="s">
        <v>153</v>
      </c>
      <c r="B2" s="958"/>
      <c r="C2" s="958"/>
      <c r="D2" s="958"/>
      <c r="E2" s="958"/>
      <c r="F2" s="958"/>
      <c r="G2" s="453"/>
      <c r="H2" s="453"/>
    </row>
    <row r="3" spans="1:8" ht="22.2">
      <c r="A3" s="959" t="s">
        <v>263</v>
      </c>
      <c r="B3" s="959"/>
      <c r="C3" s="959"/>
      <c r="D3" s="959"/>
      <c r="E3" s="959"/>
      <c r="F3" s="959"/>
      <c r="G3" s="454"/>
      <c r="H3" s="454"/>
    </row>
    <row r="4" spans="1:8" ht="19.5" customHeight="1">
      <c r="A4" s="960" t="s">
        <v>1030</v>
      </c>
      <c r="B4" s="960"/>
      <c r="C4" s="960"/>
      <c r="D4" s="960"/>
      <c r="E4" s="960"/>
      <c r="F4" s="960"/>
      <c r="G4" s="5"/>
      <c r="H4" s="5"/>
    </row>
    <row r="5" spans="1:8" ht="19.5" customHeight="1">
      <c r="A5" s="5"/>
      <c r="B5" s="5"/>
      <c r="C5" s="5"/>
      <c r="D5" s="5"/>
      <c r="E5" s="5"/>
      <c r="F5" s="5"/>
      <c r="G5" s="5"/>
      <c r="H5" s="5"/>
    </row>
    <row r="6" spans="1:8" ht="22.2">
      <c r="A6" s="959" t="s">
        <v>759</v>
      </c>
      <c r="B6" s="959"/>
      <c r="C6" s="959"/>
      <c r="D6" s="959"/>
      <c r="E6" s="959"/>
      <c r="F6" s="959"/>
    </row>
    <row r="32" ht="15.6" customHeight="1"/>
    <row r="33" spans="1:6">
      <c r="A33" s="969" t="s">
        <v>684</v>
      </c>
      <c r="B33" s="969"/>
      <c r="C33" s="969"/>
      <c r="D33" s="969"/>
      <c r="E33" s="969"/>
      <c r="F33" s="969"/>
    </row>
    <row r="34" spans="1:6" ht="1.5" customHeight="1"/>
    <row r="35" spans="1:6" s="624" customFormat="1" ht="35.25" customHeight="1">
      <c r="A35" s="839" t="s">
        <v>686</v>
      </c>
      <c r="B35" s="840" t="s">
        <v>1084</v>
      </c>
      <c r="C35" s="840" t="s">
        <v>1085</v>
      </c>
      <c r="D35" s="840" t="s">
        <v>1086</v>
      </c>
      <c r="E35" s="840" t="s">
        <v>1099</v>
      </c>
      <c r="F35" s="840" t="s">
        <v>1082</v>
      </c>
    </row>
    <row r="36" spans="1:6" s="674" customFormat="1" ht="19.05" customHeight="1">
      <c r="A36" s="841" t="s">
        <v>463</v>
      </c>
      <c r="B36" s="551"/>
      <c r="C36" s="551"/>
      <c r="D36" s="551"/>
      <c r="E36" s="551"/>
      <c r="F36" s="551"/>
    </row>
    <row r="37" spans="1:6" s="674" customFormat="1" ht="19.05" customHeight="1">
      <c r="A37" s="551" t="s">
        <v>665</v>
      </c>
      <c r="B37" s="842">
        <v>672454</v>
      </c>
      <c r="C37" s="842">
        <v>646309</v>
      </c>
      <c r="D37" s="842">
        <v>636178</v>
      </c>
      <c r="E37" s="842">
        <v>653094</v>
      </c>
      <c r="F37" s="842">
        <v>620324</v>
      </c>
    </row>
    <row r="38" spans="1:6" s="674" customFormat="1" ht="19.05" customHeight="1">
      <c r="A38" s="551" t="s">
        <v>666</v>
      </c>
      <c r="B38" s="842">
        <v>5236</v>
      </c>
      <c r="C38" s="842">
        <v>9715</v>
      </c>
      <c r="D38" s="842">
        <v>6139</v>
      </c>
      <c r="E38" s="842">
        <v>4360</v>
      </c>
      <c r="F38" s="842">
        <v>3800</v>
      </c>
    </row>
    <row r="39" spans="1:6" s="674" customFormat="1" ht="19.05" customHeight="1">
      <c r="A39" s="843" t="s">
        <v>464</v>
      </c>
      <c r="B39" s="844">
        <f>SUM(B37:B38)</f>
        <v>677690</v>
      </c>
      <c r="C39" s="844">
        <f>SUM(C37:C38)</f>
        <v>656024</v>
      </c>
      <c r="D39" s="844">
        <f>SUM(D37:D38)</f>
        <v>642317</v>
      </c>
      <c r="E39" s="844">
        <f>SUM(E37:E38)</f>
        <v>657454</v>
      </c>
      <c r="F39" s="844">
        <f>SUM(F37:F38)</f>
        <v>624124</v>
      </c>
    </row>
    <row r="40" spans="1:6" s="674" customFormat="1" ht="19.05" customHeight="1">
      <c r="A40" s="841" t="s">
        <v>663</v>
      </c>
      <c r="B40" s="551"/>
      <c r="C40" s="551"/>
      <c r="D40" s="551"/>
      <c r="E40" s="551"/>
      <c r="F40" s="551"/>
    </row>
    <row r="41" spans="1:6" s="674" customFormat="1" ht="19.05" customHeight="1">
      <c r="A41" s="551" t="s">
        <v>667</v>
      </c>
      <c r="B41" s="842">
        <v>735638</v>
      </c>
      <c r="C41" s="842">
        <v>649181</v>
      </c>
      <c r="D41" s="842">
        <v>592879</v>
      </c>
      <c r="E41" s="842">
        <v>647096</v>
      </c>
      <c r="F41" s="842">
        <f>'15.收支預計表'!D14</f>
        <v>613566</v>
      </c>
    </row>
    <row r="42" spans="1:6" s="674" customFormat="1" ht="19.05" customHeight="1">
      <c r="A42" s="551" t="s">
        <v>668</v>
      </c>
      <c r="B42" s="842">
        <v>91</v>
      </c>
      <c r="C42" s="842">
        <v>21</v>
      </c>
      <c r="D42" s="842">
        <v>12</v>
      </c>
      <c r="E42" s="842">
        <v>50</v>
      </c>
      <c r="F42" s="842">
        <v>50</v>
      </c>
    </row>
    <row r="43" spans="1:6" s="674" customFormat="1" ht="19.05" customHeight="1">
      <c r="A43" s="843" t="s">
        <v>664</v>
      </c>
      <c r="B43" s="844">
        <f>SUM(B41:B42)</f>
        <v>735729</v>
      </c>
      <c r="C43" s="844">
        <f>SUM(C41:C42)</f>
        <v>649202</v>
      </c>
      <c r="D43" s="844">
        <f>SUM(D41:D42)</f>
        <v>592891</v>
      </c>
      <c r="E43" s="844">
        <f>SUM(E41:E42)</f>
        <v>647146</v>
      </c>
      <c r="F43" s="844">
        <f>SUM(F41:F42)</f>
        <v>613616</v>
      </c>
    </row>
    <row r="44" spans="1:6" s="674" customFormat="1" ht="19.05" customHeight="1">
      <c r="A44" s="843" t="s">
        <v>669</v>
      </c>
      <c r="B44" s="844">
        <f>B39-B43</f>
        <v>-58039</v>
      </c>
      <c r="C44" s="844">
        <f>C39-C43</f>
        <v>6822</v>
      </c>
      <c r="D44" s="844">
        <f>D39-D43+1</f>
        <v>49427</v>
      </c>
      <c r="E44" s="844">
        <f>E39-E43</f>
        <v>10308</v>
      </c>
      <c r="F44" s="844">
        <f>F39-F43</f>
        <v>10508</v>
      </c>
    </row>
    <row r="45" spans="1:6" s="674" customFormat="1" ht="18.899999999999999" customHeight="1">
      <c r="A45" s="845" t="s">
        <v>1136</v>
      </c>
      <c r="B45" s="624"/>
      <c r="C45" s="624"/>
      <c r="D45" s="846"/>
      <c r="E45" s="847"/>
      <c r="F45" s="847"/>
    </row>
    <row r="46" spans="1:6">
      <c r="B46" s="460">
        <f>B39/1000</f>
        <v>677.69</v>
      </c>
      <c r="C46" s="460">
        <f>C39/1000</f>
        <v>656.024</v>
      </c>
      <c r="D46" s="460">
        <f>D39/1000</f>
        <v>642.31700000000001</v>
      </c>
      <c r="E46" s="460">
        <f>E39/1000</f>
        <v>657.45399999999995</v>
      </c>
      <c r="F46" s="460">
        <f>F39/1000</f>
        <v>624.12400000000002</v>
      </c>
    </row>
    <row r="47" spans="1:6">
      <c r="B47" s="460">
        <f>B43/1000</f>
        <v>735.72900000000004</v>
      </c>
      <c r="C47" s="460">
        <f>C43/1000</f>
        <v>649.202</v>
      </c>
      <c r="D47" s="460">
        <f>D43/1000</f>
        <v>592.89099999999996</v>
      </c>
      <c r="E47" s="460">
        <f>E43/1000</f>
        <v>647.14599999999996</v>
      </c>
      <c r="F47" s="460">
        <f>F43/1000</f>
        <v>613.61599999999999</v>
      </c>
    </row>
  </sheetData>
  <mergeCells count="6">
    <mergeCell ref="A33:F33"/>
    <mergeCell ref="A2:F2"/>
    <mergeCell ref="A1:F1"/>
    <mergeCell ref="A6:F6"/>
    <mergeCell ref="A4:F4"/>
    <mergeCell ref="A3:F3"/>
  </mergeCells>
  <phoneticPr fontId="3" type="noConversion"/>
  <printOptions horizontalCentered="1"/>
  <pageMargins left="0.98425196850393704" right="0.98425196850393704" top="0.59055118110236227" bottom="0.78740157480314965" header="0.51181102362204722" footer="0.51181102362204722"/>
  <pageSetup paperSize="9" scale="97" firstPageNumber="12" orientation="portrait" blackAndWhite="1" useFirstPageNumber="1" r:id="rId1"/>
  <headerFooter scaleWithDoc="0" alignWithMargins="0">
    <oddFooter>&amp;C&amp;"Arial,標準"&amp;P</oddFooter>
  </headerFooter>
  <drawing r:id="rId2"/>
</worksheet>
</file>

<file path=xl/worksheets/sheet50.xml><?xml version="1.0" encoding="utf-8"?>
<worksheet xmlns="http://schemas.openxmlformats.org/spreadsheetml/2006/main" xmlns:r="http://schemas.openxmlformats.org/officeDocument/2006/relationships">
  <sheetPr codeName="Sheet46"/>
  <dimension ref="A1:H20"/>
  <sheetViews>
    <sheetView workbookViewId="0">
      <selection activeCell="D14" sqref="D14"/>
    </sheetView>
  </sheetViews>
  <sheetFormatPr defaultColWidth="9" defaultRowHeight="16.2"/>
  <cols>
    <col min="1" max="1" width="11.33203125" style="1" customWidth="1"/>
    <col min="2" max="2" width="16.44140625" style="1" customWidth="1"/>
    <col min="3" max="3" width="13" style="1" customWidth="1"/>
    <col min="4" max="4" width="10" style="1" customWidth="1"/>
    <col min="5" max="5" width="9.88671875" style="1" customWidth="1"/>
    <col min="6" max="6" width="9.77734375" style="1" customWidth="1"/>
    <col min="7" max="7" width="9.6640625" style="1" bestFit="1" customWidth="1"/>
    <col min="8" max="8" width="12.77734375" style="1" customWidth="1"/>
    <col min="9" max="16384" width="9" style="1"/>
  </cols>
  <sheetData>
    <row r="1" spans="1:8" s="150" customFormat="1" ht="24.6">
      <c r="A1" s="957" t="s">
        <v>232</v>
      </c>
      <c r="B1" s="957"/>
      <c r="C1" s="957"/>
      <c r="D1" s="957"/>
      <c r="E1" s="957"/>
      <c r="F1" s="957"/>
      <c r="G1" s="957"/>
      <c r="H1" s="957"/>
    </row>
    <row r="2" spans="1:8" s="169" customFormat="1" ht="22.2">
      <c r="A2" s="1264" t="s">
        <v>76</v>
      </c>
      <c r="B2" s="1264"/>
      <c r="C2" s="1264"/>
      <c r="D2" s="1264"/>
      <c r="E2" s="1264"/>
      <c r="F2" s="1264"/>
      <c r="G2" s="1264"/>
      <c r="H2" s="1264"/>
    </row>
    <row r="3" spans="1:8" s="169" customFormat="1" ht="22.2">
      <c r="A3" s="953" t="s">
        <v>634</v>
      </c>
      <c r="B3" s="1145"/>
      <c r="C3" s="1145"/>
      <c r="D3" s="1145"/>
      <c r="E3" s="1145"/>
      <c r="F3" s="1145"/>
      <c r="G3" s="1145"/>
      <c r="H3" s="1145"/>
    </row>
    <row r="4" spans="1:8" s="170" customFormat="1" ht="19.8">
      <c r="A4" s="954" t="s">
        <v>844</v>
      </c>
      <c r="B4" s="954"/>
      <c r="C4" s="954"/>
      <c r="D4" s="954"/>
      <c r="E4" s="954"/>
      <c r="F4" s="954"/>
      <c r="G4" s="954"/>
      <c r="H4" s="954"/>
    </row>
    <row r="5" spans="1:8" ht="16.8" thickBot="1">
      <c r="A5" s="1263" t="s">
        <v>635</v>
      </c>
      <c r="B5" s="1263"/>
      <c r="C5" s="1263"/>
      <c r="D5" s="1263"/>
      <c r="E5" s="1263"/>
      <c r="F5" s="1263"/>
      <c r="G5" s="1263"/>
      <c r="H5" s="1263"/>
    </row>
    <row r="6" spans="1:8" ht="16.5" customHeight="1">
      <c r="A6" s="1256" t="s">
        <v>206</v>
      </c>
      <c r="B6" s="1241" t="s">
        <v>207</v>
      </c>
      <c r="C6" s="1241" t="s">
        <v>229</v>
      </c>
      <c r="D6" s="1241" t="s">
        <v>208</v>
      </c>
      <c r="E6" s="1258" t="s">
        <v>209</v>
      </c>
      <c r="F6" s="1259"/>
      <c r="G6" s="1260"/>
      <c r="H6" s="1261" t="s">
        <v>175</v>
      </c>
    </row>
    <row r="7" spans="1:8" ht="33" customHeight="1">
      <c r="A7" s="1257"/>
      <c r="B7" s="1189"/>
      <c r="C7" s="1189"/>
      <c r="D7" s="1189"/>
      <c r="E7" s="183" t="s">
        <v>636</v>
      </c>
      <c r="F7" s="151" t="s">
        <v>210</v>
      </c>
      <c r="G7" s="151" t="s">
        <v>465</v>
      </c>
      <c r="H7" s="1262"/>
    </row>
    <row r="8" spans="1:8" ht="50.1" customHeight="1">
      <c r="A8" s="561"/>
      <c r="B8" s="512"/>
      <c r="C8" s="512"/>
      <c r="D8" s="497"/>
      <c r="E8" s="497"/>
      <c r="F8" s="497"/>
      <c r="G8" s="497"/>
      <c r="H8" s="562"/>
    </row>
    <row r="9" spans="1:8" ht="50.1" customHeight="1">
      <c r="A9" s="305"/>
      <c r="B9" s="265"/>
      <c r="C9" s="512"/>
      <c r="D9" s="497"/>
      <c r="E9" s="497"/>
      <c r="F9" s="497"/>
      <c r="G9" s="497"/>
      <c r="H9" s="446"/>
    </row>
    <row r="10" spans="1:8" ht="50.1" customHeight="1">
      <c r="A10" s="305"/>
      <c r="B10" s="265"/>
      <c r="C10" s="512"/>
      <c r="D10" s="497"/>
      <c r="E10" s="497"/>
      <c r="F10" s="497"/>
      <c r="G10" s="497"/>
      <c r="H10" s="446"/>
    </row>
    <row r="11" spans="1:8" ht="50.1" customHeight="1">
      <c r="A11" s="305"/>
      <c r="B11" s="265"/>
      <c r="C11" s="512"/>
      <c r="D11" s="497"/>
      <c r="E11" s="497"/>
      <c r="F11" s="497"/>
      <c r="G11" s="497"/>
      <c r="H11" s="446"/>
    </row>
    <row r="12" spans="1:8" ht="50.1" customHeight="1">
      <c r="A12" s="305"/>
      <c r="B12" s="265"/>
      <c r="C12" s="512"/>
      <c r="D12" s="497"/>
      <c r="E12" s="497"/>
      <c r="F12" s="497"/>
      <c r="G12" s="497"/>
      <c r="H12" s="446"/>
    </row>
    <row r="13" spans="1:8" ht="50.25" customHeight="1">
      <c r="A13" s="305"/>
      <c r="B13" s="265"/>
      <c r="C13" s="266"/>
      <c r="D13" s="497"/>
      <c r="E13" s="497"/>
      <c r="F13" s="497"/>
      <c r="G13" s="497"/>
      <c r="H13" s="127"/>
    </row>
    <row r="14" spans="1:8" ht="50.25" customHeight="1">
      <c r="A14" s="305"/>
      <c r="B14" s="265"/>
      <c r="C14" s="266"/>
      <c r="D14" s="267"/>
      <c r="E14" s="267"/>
      <c r="F14" s="267"/>
      <c r="G14" s="267"/>
      <c r="H14" s="127"/>
    </row>
    <row r="15" spans="1:8" ht="50.25" customHeight="1">
      <c r="A15" s="305"/>
      <c r="B15" s="265"/>
      <c r="C15" s="266"/>
      <c r="D15" s="267"/>
      <c r="E15" s="267"/>
      <c r="F15" s="267"/>
      <c r="G15" s="267"/>
      <c r="H15" s="127"/>
    </row>
    <row r="16" spans="1:8" ht="50.25" customHeight="1">
      <c r="A16" s="305"/>
      <c r="B16" s="265"/>
      <c r="C16" s="266"/>
      <c r="D16" s="267"/>
      <c r="E16" s="267"/>
      <c r="F16" s="267"/>
      <c r="G16" s="267"/>
      <c r="H16" s="127"/>
    </row>
    <row r="17" spans="1:8" ht="50.25" customHeight="1">
      <c r="A17" s="305"/>
      <c r="B17" s="265"/>
      <c r="C17" s="266"/>
      <c r="D17" s="267"/>
      <c r="E17" s="267"/>
      <c r="F17" s="267"/>
      <c r="G17" s="267"/>
      <c r="H17" s="127"/>
    </row>
    <row r="18" spans="1:8" ht="50.25" customHeight="1">
      <c r="A18" s="305"/>
      <c r="B18" s="265"/>
      <c r="C18" s="266"/>
      <c r="D18" s="267"/>
      <c r="E18" s="267"/>
      <c r="F18" s="267"/>
      <c r="G18" s="267"/>
      <c r="H18" s="127"/>
    </row>
    <row r="19" spans="1:8" ht="69" customHeight="1">
      <c r="A19" s="305"/>
      <c r="B19" s="265"/>
      <c r="C19" s="266"/>
      <c r="D19" s="267"/>
      <c r="E19" s="267"/>
      <c r="F19" s="267"/>
      <c r="G19" s="267"/>
      <c r="H19" s="127"/>
    </row>
    <row r="20" spans="1:8" s="404" customFormat="1" ht="50.25" customHeight="1" thickBot="1">
      <c r="A20" s="447" t="s">
        <v>156</v>
      </c>
      <c r="B20" s="448"/>
      <c r="C20" s="448"/>
      <c r="D20" s="449">
        <f>SUM(D8:D19)</f>
        <v>0</v>
      </c>
      <c r="E20" s="449">
        <f>SUM(E8:E19)</f>
        <v>0</v>
      </c>
      <c r="F20" s="449">
        <f>SUM(F8:F19)</f>
        <v>0</v>
      </c>
      <c r="G20" s="449">
        <f>SUM(G8:G19)</f>
        <v>0</v>
      </c>
      <c r="H20" s="450"/>
    </row>
  </sheetData>
  <mergeCells count="11">
    <mergeCell ref="A6:A7"/>
    <mergeCell ref="E6:G6"/>
    <mergeCell ref="H6:H7"/>
    <mergeCell ref="A1:H1"/>
    <mergeCell ref="A5:H5"/>
    <mergeCell ref="A3:H3"/>
    <mergeCell ref="A4:H4"/>
    <mergeCell ref="B6:B7"/>
    <mergeCell ref="C6:C7"/>
    <mergeCell ref="D6:D7"/>
    <mergeCell ref="A2:H2"/>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9" orientation="portrait" useFirstPageNumber="1" r:id="rId1"/>
  <headerFooter alignWithMargins="0">
    <oddFooter>&amp;C&amp;"Arial Unicode MS,標準"&amp;P</oddFooter>
  </headerFooter>
</worksheet>
</file>

<file path=xl/worksheets/sheet51.xml><?xml version="1.0" encoding="utf-8"?>
<worksheet xmlns="http://schemas.openxmlformats.org/spreadsheetml/2006/main" xmlns:r="http://schemas.openxmlformats.org/officeDocument/2006/relationships">
  <sheetPr codeName="Sheet47"/>
  <dimension ref="A1:H20"/>
  <sheetViews>
    <sheetView workbookViewId="0">
      <selection activeCell="J13" sqref="J13"/>
    </sheetView>
  </sheetViews>
  <sheetFormatPr defaultColWidth="9" defaultRowHeight="16.2"/>
  <cols>
    <col min="1" max="1" width="11.33203125" style="1" customWidth="1"/>
    <col min="2" max="2" width="16.44140625" style="1" customWidth="1"/>
    <col min="3" max="3" width="13" style="1" customWidth="1"/>
    <col min="4" max="4" width="10" style="1" customWidth="1"/>
    <col min="5" max="5" width="9.88671875" style="1" customWidth="1"/>
    <col min="6" max="6" width="9.77734375" style="1" customWidth="1"/>
    <col min="7" max="7" width="9.6640625" style="1" bestFit="1" customWidth="1"/>
    <col min="8" max="8" width="12.77734375" style="1" customWidth="1"/>
    <col min="9" max="16384" width="9" style="1"/>
  </cols>
  <sheetData>
    <row r="1" spans="1:8" s="150" customFormat="1" ht="24.6">
      <c r="A1" s="957" t="s">
        <v>232</v>
      </c>
      <c r="B1" s="957"/>
      <c r="C1" s="957"/>
      <c r="D1" s="957"/>
      <c r="E1" s="957"/>
      <c r="F1" s="957"/>
      <c r="G1" s="957"/>
      <c r="H1" s="957"/>
    </row>
    <row r="2" spans="1:8" s="169" customFormat="1" ht="22.2">
      <c r="A2" s="1264" t="s">
        <v>76</v>
      </c>
      <c r="B2" s="1264"/>
      <c r="C2" s="1264"/>
      <c r="D2" s="1264"/>
      <c r="E2" s="1264"/>
      <c r="F2" s="1264"/>
      <c r="G2" s="1264"/>
      <c r="H2" s="1264"/>
    </row>
    <row r="3" spans="1:8" s="169" customFormat="1" ht="22.2">
      <c r="A3" s="953" t="s">
        <v>513</v>
      </c>
      <c r="B3" s="1145"/>
      <c r="C3" s="1145"/>
      <c r="D3" s="1145"/>
      <c r="E3" s="1145"/>
      <c r="F3" s="1145"/>
      <c r="G3" s="1145"/>
      <c r="H3" s="1145"/>
    </row>
    <row r="4" spans="1:8" s="170" customFormat="1" ht="19.8">
      <c r="A4" s="954" t="s">
        <v>844</v>
      </c>
      <c r="B4" s="954"/>
      <c r="C4" s="954"/>
      <c r="D4" s="954"/>
      <c r="E4" s="954"/>
      <c r="F4" s="954"/>
      <c r="G4" s="954"/>
      <c r="H4" s="954"/>
    </row>
    <row r="5" spans="1:8" ht="16.8" thickBot="1">
      <c r="A5" s="1263" t="s">
        <v>395</v>
      </c>
      <c r="B5" s="1263"/>
      <c r="C5" s="1263"/>
      <c r="D5" s="1263"/>
      <c r="E5" s="1263"/>
      <c r="F5" s="1263"/>
      <c r="G5" s="1263"/>
      <c r="H5" s="1263"/>
    </row>
    <row r="6" spans="1:8" ht="16.5" customHeight="1">
      <c r="A6" s="1256" t="s">
        <v>206</v>
      </c>
      <c r="B6" s="1241" t="s">
        <v>207</v>
      </c>
      <c r="C6" s="1241" t="s">
        <v>229</v>
      </c>
      <c r="D6" s="1241" t="s">
        <v>208</v>
      </c>
      <c r="E6" s="1258" t="s">
        <v>209</v>
      </c>
      <c r="F6" s="1259"/>
      <c r="G6" s="1260"/>
      <c r="H6" s="1261" t="s">
        <v>175</v>
      </c>
    </row>
    <row r="7" spans="1:8" ht="33" customHeight="1">
      <c r="A7" s="1257"/>
      <c r="B7" s="1189"/>
      <c r="C7" s="1189"/>
      <c r="D7" s="1189"/>
      <c r="E7" s="183" t="s">
        <v>396</v>
      </c>
      <c r="F7" s="151" t="s">
        <v>210</v>
      </c>
      <c r="G7" s="151" t="s">
        <v>465</v>
      </c>
      <c r="H7" s="1262"/>
    </row>
    <row r="8" spans="1:8" ht="50.1" customHeight="1">
      <c r="A8" s="561"/>
      <c r="B8" s="512"/>
      <c r="C8" s="512"/>
      <c r="D8" s="497"/>
      <c r="E8" s="497"/>
      <c r="F8" s="497"/>
      <c r="G8" s="497"/>
      <c r="H8" s="562"/>
    </row>
    <row r="9" spans="1:8" ht="50.25" customHeight="1">
      <c r="A9" s="305"/>
      <c r="B9" s="265"/>
      <c r="C9" s="266"/>
      <c r="D9" s="497"/>
      <c r="E9" s="497"/>
      <c r="F9" s="497"/>
      <c r="G9" s="497"/>
      <c r="H9" s="127"/>
    </row>
    <row r="10" spans="1:8" ht="50.25" customHeight="1">
      <c r="A10" s="305"/>
      <c r="B10" s="265"/>
      <c r="C10" s="266"/>
      <c r="D10" s="267"/>
      <c r="E10" s="267"/>
      <c r="F10" s="267"/>
      <c r="G10" s="267"/>
      <c r="H10" s="127"/>
    </row>
    <row r="11" spans="1:8" ht="50.25" customHeight="1">
      <c r="A11" s="305"/>
      <c r="B11" s="265"/>
      <c r="C11" s="266"/>
      <c r="D11" s="267"/>
      <c r="E11" s="267"/>
      <c r="F11" s="267"/>
      <c r="G11" s="267"/>
      <c r="H11" s="127"/>
    </row>
    <row r="12" spans="1:8" ht="50.25" customHeight="1">
      <c r="A12" s="305"/>
      <c r="B12" s="265"/>
      <c r="C12" s="266"/>
      <c r="D12" s="267"/>
      <c r="E12" s="267"/>
      <c r="F12" s="267"/>
      <c r="G12" s="267"/>
      <c r="H12" s="127"/>
    </row>
    <row r="13" spans="1:8" ht="50.25" customHeight="1">
      <c r="A13" s="305"/>
      <c r="B13" s="265"/>
      <c r="C13" s="266"/>
      <c r="D13" s="267"/>
      <c r="E13" s="267"/>
      <c r="F13" s="267"/>
      <c r="G13" s="267"/>
      <c r="H13" s="127"/>
    </row>
    <row r="14" spans="1:8" ht="50.25" customHeight="1">
      <c r="A14" s="305"/>
      <c r="B14" s="265"/>
      <c r="C14" s="266"/>
      <c r="D14" s="267"/>
      <c r="E14" s="267"/>
      <c r="F14" s="267"/>
      <c r="G14" s="267"/>
      <c r="H14" s="127"/>
    </row>
    <row r="15" spans="1:8" ht="50.25" customHeight="1">
      <c r="A15" s="305"/>
      <c r="B15" s="265"/>
      <c r="C15" s="266"/>
      <c r="D15" s="267"/>
      <c r="E15" s="267"/>
      <c r="F15" s="267"/>
      <c r="G15" s="267"/>
      <c r="H15" s="127"/>
    </row>
    <row r="16" spans="1:8" ht="50.25" customHeight="1">
      <c r="A16" s="305"/>
      <c r="B16" s="265"/>
      <c r="C16" s="266"/>
      <c r="D16" s="267"/>
      <c r="E16" s="267"/>
      <c r="F16" s="267"/>
      <c r="G16" s="267"/>
      <c r="H16" s="127"/>
    </row>
    <row r="17" spans="1:8" ht="50.25" customHeight="1">
      <c r="A17" s="305"/>
      <c r="B17" s="265"/>
      <c r="C17" s="266"/>
      <c r="D17" s="267"/>
      <c r="E17" s="267"/>
      <c r="F17" s="267"/>
      <c r="G17" s="267"/>
      <c r="H17" s="127"/>
    </row>
    <row r="18" spans="1:8" ht="50.25" customHeight="1">
      <c r="A18" s="305"/>
      <c r="B18" s="265"/>
      <c r="C18" s="266"/>
      <c r="D18" s="267"/>
      <c r="E18" s="267"/>
      <c r="F18" s="267"/>
      <c r="G18" s="267"/>
      <c r="H18" s="127"/>
    </row>
    <row r="19" spans="1:8" ht="69" customHeight="1">
      <c r="A19" s="305"/>
      <c r="B19" s="265"/>
      <c r="C19" s="266"/>
      <c r="D19" s="267"/>
      <c r="E19" s="267"/>
      <c r="F19" s="267"/>
      <c r="G19" s="267"/>
      <c r="H19" s="127"/>
    </row>
    <row r="20" spans="1:8" s="404" customFormat="1" ht="50.25" customHeight="1" thickBot="1">
      <c r="A20" s="447" t="s">
        <v>156</v>
      </c>
      <c r="B20" s="448"/>
      <c r="C20" s="448"/>
      <c r="D20" s="449">
        <f>SUM(D8:D19)</f>
        <v>0</v>
      </c>
      <c r="E20" s="449">
        <f>SUM(E8:E19)</f>
        <v>0</v>
      </c>
      <c r="F20" s="449">
        <f>SUM(F8:F19)</f>
        <v>0</v>
      </c>
      <c r="G20" s="449">
        <f>SUM(G8:G19)</f>
        <v>0</v>
      </c>
      <c r="H20" s="450"/>
    </row>
  </sheetData>
  <mergeCells count="11">
    <mergeCell ref="B6:B7"/>
    <mergeCell ref="C6:C7"/>
    <mergeCell ref="D6:D7"/>
    <mergeCell ref="A1:H1"/>
    <mergeCell ref="A5:H5"/>
    <mergeCell ref="A3:H3"/>
    <mergeCell ref="A4:H4"/>
    <mergeCell ref="A2:H2"/>
    <mergeCell ref="A6:A7"/>
    <mergeCell ref="E6:G6"/>
    <mergeCell ref="H6:H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46" orientation="portrait" useFirstPageNumber="1" r:id="rId1"/>
  <headerFooter alignWithMargins="0">
    <oddFooter>&amp;C&amp;"Arial Unicode MS,標準"&amp;P</oddFooter>
  </headerFooter>
</worksheet>
</file>

<file path=xl/worksheets/sheet52.xml><?xml version="1.0" encoding="utf-8"?>
<worksheet xmlns="http://schemas.openxmlformats.org/spreadsheetml/2006/main" xmlns:r="http://schemas.openxmlformats.org/officeDocument/2006/relationships">
  <sheetPr codeName="Sheet48"/>
  <dimension ref="A14:N22"/>
  <sheetViews>
    <sheetView topLeftCell="A7" zoomScaleNormal="100" workbookViewId="0">
      <selection activeCell="P29" sqref="P29"/>
    </sheetView>
  </sheetViews>
  <sheetFormatPr defaultRowHeight="16.2"/>
  <sheetData>
    <row r="14" spans="1:14" ht="33">
      <c r="K14" s="143"/>
      <c r="L14" s="143"/>
      <c r="M14" s="143"/>
      <c r="N14" s="143"/>
    </row>
    <row r="15" spans="1:14" ht="31.5" customHeight="1"/>
    <row r="16" spans="1:14" ht="32.25" customHeight="1">
      <c r="A16" s="1265" t="s">
        <v>716</v>
      </c>
      <c r="B16" s="1266"/>
      <c r="C16" s="1266"/>
      <c r="D16" s="1266"/>
      <c r="E16" s="1266"/>
      <c r="F16" s="1266"/>
      <c r="G16" s="1266"/>
      <c r="H16" s="1266"/>
      <c r="I16" s="1266"/>
      <c r="J16" s="1266"/>
    </row>
    <row r="17" spans="1:10" ht="32.25" customHeight="1">
      <c r="A17" s="144"/>
      <c r="B17" s="145"/>
      <c r="C17" s="145"/>
      <c r="D17" s="145"/>
      <c r="E17" s="145"/>
      <c r="F17" s="145"/>
      <c r="G17" s="145"/>
      <c r="H17" s="145"/>
      <c r="I17" s="145"/>
      <c r="J17" s="145"/>
    </row>
    <row r="18" spans="1:10" ht="32.25" customHeight="1">
      <c r="A18" s="144"/>
      <c r="B18" s="145"/>
      <c r="C18" s="145"/>
      <c r="D18" s="145"/>
      <c r="E18" s="145"/>
      <c r="F18" s="145"/>
      <c r="G18" s="145"/>
      <c r="H18" s="145"/>
      <c r="I18" s="145"/>
      <c r="J18" s="145"/>
    </row>
    <row r="22" spans="1:10" ht="32.25" customHeight="1">
      <c r="A22" s="1265" t="s">
        <v>717</v>
      </c>
      <c r="B22" s="1265"/>
      <c r="C22" s="1265"/>
      <c r="D22" s="1265"/>
      <c r="E22" s="1265"/>
      <c r="F22" s="1265"/>
      <c r="G22" s="1265"/>
      <c r="H22" s="1265"/>
      <c r="I22" s="1265"/>
      <c r="J22" s="1265"/>
    </row>
  </sheetData>
  <mergeCells count="2">
    <mergeCell ref="A16:J16"/>
    <mergeCell ref="A22:J22"/>
  </mergeCells>
  <phoneticPr fontId="2" type="noConversion"/>
  <printOptions horizontalCentered="1"/>
  <pageMargins left="0.55118110236220474" right="0.35433070866141736" top="0.78740157480314965" bottom="0.78740157480314965"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sheetPr codeName="Sheet53"/>
  <dimension ref="A1:I29"/>
  <sheetViews>
    <sheetView topLeftCell="A7" zoomScaleNormal="100" workbookViewId="0">
      <selection activeCell="B36" sqref="B36"/>
    </sheetView>
  </sheetViews>
  <sheetFormatPr defaultColWidth="9" defaultRowHeight="16.2"/>
  <cols>
    <col min="1" max="1" width="9" style="575"/>
    <col min="2" max="2" width="33.21875" style="576" customWidth="1"/>
    <col min="3" max="4" width="8.21875" style="575" bestFit="1" customWidth="1"/>
    <col min="5" max="5" width="10.77734375" style="575" bestFit="1" customWidth="1"/>
    <col min="6" max="6" width="12.77734375" style="575" bestFit="1" customWidth="1"/>
    <col min="7" max="7" width="15.6640625" style="575" customWidth="1"/>
    <col min="8" max="8" width="9" style="575"/>
    <col min="9" max="9" width="33.6640625" style="575" customWidth="1"/>
    <col min="10" max="16384" width="9" style="575"/>
  </cols>
  <sheetData>
    <row r="1" spans="1:9" ht="22.2">
      <c r="B1" s="1269" t="s">
        <v>233</v>
      </c>
      <c r="C1" s="1269"/>
      <c r="D1" s="1269"/>
      <c r="E1" s="1269"/>
      <c r="F1" s="1269"/>
      <c r="G1" s="1269"/>
    </row>
    <row r="2" spans="1:9" ht="22.2">
      <c r="B2" s="1269" t="s">
        <v>234</v>
      </c>
      <c r="C2" s="1269"/>
      <c r="D2" s="1269"/>
      <c r="E2" s="1269"/>
      <c r="F2" s="1269"/>
      <c r="G2" s="1269"/>
    </row>
    <row r="3" spans="1:9" ht="22.2">
      <c r="B3" s="1269" t="s">
        <v>683</v>
      </c>
      <c r="C3" s="1269"/>
      <c r="D3" s="1269"/>
      <c r="E3" s="1269"/>
      <c r="F3" s="1269"/>
      <c r="G3" s="1269"/>
    </row>
    <row r="4" spans="1:9" ht="19.8">
      <c r="B4" s="1270" t="s">
        <v>854</v>
      </c>
      <c r="C4" s="1270"/>
      <c r="D4" s="1270"/>
      <c r="E4" s="1270"/>
      <c r="F4" s="1270"/>
      <c r="G4" s="1270"/>
    </row>
    <row r="5" spans="1:9" ht="16.8" thickBot="1">
      <c r="C5" s="577"/>
      <c r="D5" s="578"/>
      <c r="F5" s="578"/>
      <c r="G5" s="579" t="s">
        <v>235</v>
      </c>
    </row>
    <row r="6" spans="1:9">
      <c r="A6" s="1267" t="s">
        <v>754</v>
      </c>
      <c r="B6" s="1271" t="s">
        <v>236</v>
      </c>
      <c r="C6" s="1273" t="s">
        <v>237</v>
      </c>
      <c r="D6" s="1273"/>
      <c r="E6" s="1273"/>
      <c r="F6" s="1273"/>
      <c r="G6" s="1274" t="s">
        <v>238</v>
      </c>
    </row>
    <row r="7" spans="1:9">
      <c r="A7" s="1268"/>
      <c r="B7" s="1272"/>
      <c r="C7" s="580" t="s">
        <v>239</v>
      </c>
      <c r="D7" s="580" t="s">
        <v>240</v>
      </c>
      <c r="E7" s="580" t="s">
        <v>241</v>
      </c>
      <c r="F7" s="580" t="s">
        <v>242</v>
      </c>
      <c r="G7" s="1275"/>
    </row>
    <row r="8" spans="1:9" ht="34.5" customHeight="1">
      <c r="A8" s="683"/>
      <c r="B8" s="581" t="s">
        <v>243</v>
      </c>
      <c r="C8" s="580"/>
      <c r="D8" s="580"/>
      <c r="E8" s="580"/>
      <c r="F8" s="580">
        <f>SUM(F9:F18)</f>
        <v>16515</v>
      </c>
      <c r="G8" s="684"/>
    </row>
    <row r="9" spans="1:9" s="548" customFormat="1" ht="34.5" customHeight="1">
      <c r="A9" s="685" t="s">
        <v>752</v>
      </c>
      <c r="B9" s="694" t="s">
        <v>900</v>
      </c>
      <c r="C9" s="184" t="s">
        <v>244</v>
      </c>
      <c r="D9" s="184">
        <v>1</v>
      </c>
      <c r="E9" s="184">
        <v>1750</v>
      </c>
      <c r="F9" s="184">
        <f t="shared" ref="F9:F28" si="0">D9*E9</f>
        <v>1750</v>
      </c>
      <c r="G9" s="686" t="s">
        <v>858</v>
      </c>
    </row>
    <row r="10" spans="1:9" s="548" customFormat="1" ht="34.5" customHeight="1">
      <c r="A10" s="685" t="s">
        <v>752</v>
      </c>
      <c r="B10" s="694" t="s">
        <v>901</v>
      </c>
      <c r="C10" s="184" t="s">
        <v>244</v>
      </c>
      <c r="D10" s="184">
        <v>1</v>
      </c>
      <c r="E10" s="184">
        <v>4500</v>
      </c>
      <c r="F10" s="184">
        <f t="shared" si="0"/>
        <v>4500</v>
      </c>
      <c r="G10" s="686" t="s">
        <v>511</v>
      </c>
    </row>
    <row r="11" spans="1:9" s="548" customFormat="1" ht="34.5" customHeight="1">
      <c r="A11" s="685" t="s">
        <v>752</v>
      </c>
      <c r="B11" s="695" t="s">
        <v>902</v>
      </c>
      <c r="C11" s="184" t="s">
        <v>244</v>
      </c>
      <c r="D11" s="184">
        <v>1</v>
      </c>
      <c r="E11" s="184">
        <v>650</v>
      </c>
      <c r="F11" s="184">
        <f t="shared" si="0"/>
        <v>650</v>
      </c>
      <c r="G11" s="686" t="s">
        <v>511</v>
      </c>
    </row>
    <row r="12" spans="1:9" s="548" customFormat="1" ht="34.5" customHeight="1">
      <c r="A12" s="685" t="s">
        <v>752</v>
      </c>
      <c r="B12" s="696" t="s">
        <v>903</v>
      </c>
      <c r="C12" s="184" t="s">
        <v>244</v>
      </c>
      <c r="D12" s="184">
        <v>1</v>
      </c>
      <c r="E12" s="184">
        <v>2320</v>
      </c>
      <c r="F12" s="184">
        <f t="shared" si="0"/>
        <v>2320</v>
      </c>
      <c r="G12" s="686" t="s">
        <v>511</v>
      </c>
      <c r="I12" s="609"/>
    </row>
    <row r="13" spans="1:9" s="548" customFormat="1" ht="60" customHeight="1">
      <c r="A13" s="685" t="s">
        <v>752</v>
      </c>
      <c r="B13" s="716" t="s">
        <v>904</v>
      </c>
      <c r="C13" s="184" t="s">
        <v>244</v>
      </c>
      <c r="D13" s="184">
        <v>1</v>
      </c>
      <c r="E13" s="184">
        <v>1285</v>
      </c>
      <c r="F13" s="184">
        <f t="shared" si="0"/>
        <v>1285</v>
      </c>
      <c r="G13" s="686" t="s">
        <v>859</v>
      </c>
      <c r="I13" s="609"/>
    </row>
    <row r="14" spans="1:9" s="548" customFormat="1" ht="34.5" customHeight="1">
      <c r="A14" s="717" t="s">
        <v>753</v>
      </c>
      <c r="B14" s="729" t="s">
        <v>936</v>
      </c>
      <c r="C14" s="184" t="s">
        <v>845</v>
      </c>
      <c r="D14" s="184">
        <v>7</v>
      </c>
      <c r="E14" s="184">
        <v>290</v>
      </c>
      <c r="F14" s="184">
        <f t="shared" si="0"/>
        <v>2030</v>
      </c>
      <c r="G14" s="686" t="s">
        <v>511</v>
      </c>
    </row>
    <row r="15" spans="1:9" s="548" customFormat="1" ht="34.5" customHeight="1">
      <c r="A15" s="717" t="s">
        <v>753</v>
      </c>
      <c r="B15" s="729" t="s">
        <v>928</v>
      </c>
      <c r="C15" s="184" t="s">
        <v>845</v>
      </c>
      <c r="D15" s="184">
        <v>2</v>
      </c>
      <c r="E15" s="184">
        <v>600</v>
      </c>
      <c r="F15" s="184">
        <f t="shared" si="0"/>
        <v>1200</v>
      </c>
      <c r="G15" s="686"/>
    </row>
    <row r="16" spans="1:9" s="548" customFormat="1" ht="34.5" customHeight="1">
      <c r="A16" s="717" t="s">
        <v>753</v>
      </c>
      <c r="B16" s="729" t="s">
        <v>937</v>
      </c>
      <c r="C16" s="184" t="s">
        <v>845</v>
      </c>
      <c r="D16" s="184">
        <v>1</v>
      </c>
      <c r="E16" s="184">
        <v>100</v>
      </c>
      <c r="F16" s="184">
        <f t="shared" si="0"/>
        <v>100</v>
      </c>
      <c r="G16" s="686"/>
    </row>
    <row r="17" spans="1:7" s="548" customFormat="1" ht="34.5" customHeight="1">
      <c r="A17" s="717" t="s">
        <v>753</v>
      </c>
      <c r="B17" s="729" t="s">
        <v>927</v>
      </c>
      <c r="C17" s="184" t="s">
        <v>244</v>
      </c>
      <c r="D17" s="184">
        <v>1</v>
      </c>
      <c r="E17" s="184">
        <v>2000</v>
      </c>
      <c r="F17" s="184">
        <f t="shared" si="0"/>
        <v>2000</v>
      </c>
      <c r="G17" s="686"/>
    </row>
    <row r="18" spans="1:7" s="548" customFormat="1" ht="34.5" customHeight="1">
      <c r="A18" s="717" t="s">
        <v>753</v>
      </c>
      <c r="B18" s="729" t="s">
        <v>929</v>
      </c>
      <c r="C18" s="184" t="s">
        <v>244</v>
      </c>
      <c r="D18" s="184">
        <v>1</v>
      </c>
      <c r="E18" s="184">
        <v>680</v>
      </c>
      <c r="F18" s="184">
        <f t="shared" si="0"/>
        <v>680</v>
      </c>
      <c r="G18" s="686" t="s">
        <v>511</v>
      </c>
    </row>
    <row r="19" spans="1:7" ht="34.5" customHeight="1">
      <c r="A19" s="687"/>
      <c r="B19" s="581" t="s">
        <v>200</v>
      </c>
      <c r="C19" s="580"/>
      <c r="D19" s="580"/>
      <c r="E19" s="580"/>
      <c r="F19" s="580">
        <f>SUM(F20:F28)</f>
        <v>2740.01</v>
      </c>
      <c r="G19" s="686"/>
    </row>
    <row r="20" spans="1:7" ht="34.5" customHeight="1">
      <c r="A20" s="717" t="s">
        <v>753</v>
      </c>
      <c r="B20" s="729" t="s">
        <v>930</v>
      </c>
      <c r="C20" s="184" t="s">
        <v>845</v>
      </c>
      <c r="D20" s="580">
        <v>2</v>
      </c>
      <c r="E20" s="580">
        <v>100</v>
      </c>
      <c r="F20" s="184">
        <f t="shared" si="0"/>
        <v>200</v>
      </c>
      <c r="G20" s="686"/>
    </row>
    <row r="21" spans="1:7" ht="34.5" customHeight="1">
      <c r="A21" s="717" t="s">
        <v>753</v>
      </c>
      <c r="B21" s="729" t="s">
        <v>938</v>
      </c>
      <c r="C21" s="184" t="s">
        <v>845</v>
      </c>
      <c r="D21" s="580">
        <v>5</v>
      </c>
      <c r="E21" s="580">
        <v>60</v>
      </c>
      <c r="F21" s="184">
        <f t="shared" si="0"/>
        <v>300</v>
      </c>
      <c r="G21" s="686"/>
    </row>
    <row r="22" spans="1:7" ht="34.5" customHeight="1">
      <c r="A22" s="717" t="s">
        <v>753</v>
      </c>
      <c r="B22" s="729" t="s">
        <v>855</v>
      </c>
      <c r="C22" s="184" t="s">
        <v>845</v>
      </c>
      <c r="D22" s="580">
        <v>16</v>
      </c>
      <c r="E22" s="580">
        <v>25</v>
      </c>
      <c r="F22" s="184">
        <f t="shared" si="0"/>
        <v>400</v>
      </c>
      <c r="G22" s="686"/>
    </row>
    <row r="23" spans="1:7" ht="34.5" customHeight="1">
      <c r="A23" s="717" t="s">
        <v>753</v>
      </c>
      <c r="B23" s="729" t="s">
        <v>939</v>
      </c>
      <c r="C23" s="184" t="s">
        <v>845</v>
      </c>
      <c r="D23" s="580">
        <v>2</v>
      </c>
      <c r="E23" s="580">
        <v>20</v>
      </c>
      <c r="F23" s="184">
        <f t="shared" si="0"/>
        <v>40</v>
      </c>
      <c r="G23" s="686"/>
    </row>
    <row r="24" spans="1:7" ht="34.5" customHeight="1">
      <c r="A24" s="717" t="s">
        <v>931</v>
      </c>
      <c r="B24" s="729" t="s">
        <v>932</v>
      </c>
      <c r="C24" s="184" t="s">
        <v>933</v>
      </c>
      <c r="D24" s="580">
        <v>2</v>
      </c>
      <c r="E24" s="580">
        <v>20</v>
      </c>
      <c r="F24" s="730">
        <f t="shared" si="0"/>
        <v>40</v>
      </c>
      <c r="G24" s="731" t="s">
        <v>935</v>
      </c>
    </row>
    <row r="25" spans="1:7" ht="34.5" customHeight="1">
      <c r="A25" s="717" t="s">
        <v>931</v>
      </c>
      <c r="B25" s="729" t="s">
        <v>934</v>
      </c>
      <c r="C25" s="184" t="s">
        <v>933</v>
      </c>
      <c r="D25" s="580">
        <v>3</v>
      </c>
      <c r="E25" s="701">
        <v>153.33000000000001</v>
      </c>
      <c r="F25" s="730">
        <f t="shared" si="0"/>
        <v>459.99</v>
      </c>
      <c r="G25" s="731" t="s">
        <v>935</v>
      </c>
    </row>
    <row r="26" spans="1:7" ht="34.5" customHeight="1">
      <c r="A26" s="717" t="s">
        <v>753</v>
      </c>
      <c r="B26" s="729" t="s">
        <v>905</v>
      </c>
      <c r="C26" s="184" t="s">
        <v>845</v>
      </c>
      <c r="D26" s="580">
        <v>3</v>
      </c>
      <c r="E26" s="701">
        <v>166.67</v>
      </c>
      <c r="F26" s="184">
        <f t="shared" si="0"/>
        <v>500.01</v>
      </c>
      <c r="G26" s="686"/>
    </row>
    <row r="27" spans="1:7" ht="34.5" customHeight="1">
      <c r="A27" s="717" t="s">
        <v>753</v>
      </c>
      <c r="B27" s="729" t="s">
        <v>856</v>
      </c>
      <c r="C27" s="184" t="s">
        <v>244</v>
      </c>
      <c r="D27" s="580">
        <v>1</v>
      </c>
      <c r="E27" s="580">
        <v>300</v>
      </c>
      <c r="F27" s="184">
        <f t="shared" si="0"/>
        <v>300</v>
      </c>
      <c r="G27" s="686"/>
    </row>
    <row r="28" spans="1:7" s="548" customFormat="1" ht="34.5" customHeight="1">
      <c r="A28" s="717" t="s">
        <v>753</v>
      </c>
      <c r="B28" s="729" t="s">
        <v>857</v>
      </c>
      <c r="C28" s="184" t="s">
        <v>845</v>
      </c>
      <c r="D28" s="184">
        <v>3</v>
      </c>
      <c r="E28" s="701">
        <v>166.67</v>
      </c>
      <c r="F28" s="184">
        <f t="shared" si="0"/>
        <v>500.01</v>
      </c>
      <c r="G28" s="686" t="s">
        <v>511</v>
      </c>
    </row>
    <row r="29" spans="1:7" ht="34.5" customHeight="1" thickBot="1">
      <c r="A29" s="688"/>
      <c r="B29" s="718" t="s">
        <v>245</v>
      </c>
      <c r="C29" s="689"/>
      <c r="D29" s="690"/>
      <c r="E29" s="691"/>
      <c r="F29" s="690">
        <f>F8+F19</f>
        <v>19255.010000000002</v>
      </c>
      <c r="G29" s="692"/>
    </row>
  </sheetData>
  <mergeCells count="8">
    <mergeCell ref="A6:A7"/>
    <mergeCell ref="B1:G1"/>
    <mergeCell ref="B3:G3"/>
    <mergeCell ref="B4:G4"/>
    <mergeCell ref="B6:B7"/>
    <mergeCell ref="C6:F6"/>
    <mergeCell ref="G6:G7"/>
    <mergeCell ref="B2:G2"/>
  </mergeCells>
  <phoneticPr fontId="14" type="noConversion"/>
  <printOptions horizontalCentered="1"/>
  <pageMargins left="0.47244094488188981" right="0.47244094488188981" top="0.59055118110236227" bottom="0.39370078740157483" header="0.51181102362204722" footer="0.51181102362204722"/>
  <pageSetup paperSize="9" scale="90" orientation="portrait" r:id="rId1"/>
  <headerFooter alignWithMargins="0"/>
</worksheet>
</file>

<file path=xl/worksheets/sheet54.xml><?xml version="1.0" encoding="utf-8"?>
<worksheet xmlns="http://schemas.openxmlformats.org/spreadsheetml/2006/main" xmlns:r="http://schemas.openxmlformats.org/officeDocument/2006/relationships">
  <dimension ref="A1"/>
  <sheetViews>
    <sheetView workbookViewId="0"/>
  </sheetViews>
  <sheetFormatPr defaultRowHeight="16.2"/>
  <sheetData/>
  <phoneticPr fontId="14"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Sheet7">
    <tabColor rgb="FFFFFFCC"/>
  </sheetPr>
  <dimension ref="A1:E40"/>
  <sheetViews>
    <sheetView topLeftCell="A25" workbookViewId="0">
      <selection activeCell="F32" sqref="F32"/>
    </sheetView>
  </sheetViews>
  <sheetFormatPr defaultColWidth="9" defaultRowHeight="16.2"/>
  <cols>
    <col min="1" max="1" width="10.6640625" style="1" customWidth="1"/>
    <col min="2" max="2" width="24.109375" style="1" customWidth="1"/>
    <col min="3" max="3" width="16.109375" style="1" customWidth="1"/>
    <col min="4" max="4" width="23.44140625" style="1" customWidth="1"/>
    <col min="5" max="5" width="16.109375" style="1" customWidth="1"/>
    <col min="6" max="6" width="24.77734375" style="1" customWidth="1"/>
    <col min="7" max="16384" width="9" style="1"/>
  </cols>
  <sheetData>
    <row r="1" spans="1:5" ht="24.6">
      <c r="A1" s="150"/>
      <c r="B1" s="957" t="s">
        <v>152</v>
      </c>
      <c r="C1" s="957"/>
      <c r="D1" s="957"/>
      <c r="E1" s="957"/>
    </row>
    <row r="2" spans="1:5" ht="22.2">
      <c r="A2" s="169"/>
      <c r="B2" s="958" t="s">
        <v>247</v>
      </c>
      <c r="C2" s="958"/>
      <c r="D2" s="958"/>
      <c r="E2" s="958"/>
    </row>
    <row r="3" spans="1:5" ht="22.2">
      <c r="A3" s="169"/>
      <c r="B3" s="959" t="s">
        <v>263</v>
      </c>
      <c r="C3" s="959"/>
      <c r="D3" s="959"/>
      <c r="E3" s="959"/>
    </row>
    <row r="4" spans="1:5" ht="19.8">
      <c r="A4" s="170"/>
      <c r="B4" s="960" t="s">
        <v>1030</v>
      </c>
      <c r="C4" s="960"/>
      <c r="D4" s="960"/>
      <c r="E4" s="960"/>
    </row>
    <row r="5" spans="1:5">
      <c r="A5" s="3" t="s">
        <v>131</v>
      </c>
      <c r="B5" s="3"/>
      <c r="C5" s="3"/>
      <c r="D5" s="3"/>
      <c r="E5" s="3"/>
    </row>
    <row r="6" spans="1:5" ht="22.8">
      <c r="A6" s="153" t="s">
        <v>132</v>
      </c>
      <c r="B6" s="953" t="s">
        <v>1088</v>
      </c>
      <c r="C6" s="953"/>
      <c r="D6" s="953"/>
      <c r="E6" s="953"/>
    </row>
    <row r="7" spans="1:5" ht="22.2">
      <c r="A7" s="152"/>
      <c r="B7" s="966" t="s">
        <v>284</v>
      </c>
      <c r="C7" s="966"/>
      <c r="D7" s="966"/>
      <c r="E7" s="966"/>
    </row>
    <row r="20" spans="2:5" ht="22.2">
      <c r="B20" s="966" t="s">
        <v>283</v>
      </c>
      <c r="C20" s="970"/>
      <c r="D20" s="970"/>
      <c r="E20" s="970"/>
    </row>
    <row r="35" spans="2:5" ht="26.25" customHeight="1">
      <c r="E35" s="21" t="s">
        <v>671</v>
      </c>
    </row>
    <row r="36" spans="2:5" ht="25.5" customHeight="1">
      <c r="B36" s="2" t="s">
        <v>280</v>
      </c>
      <c r="C36" s="2" t="s">
        <v>1087</v>
      </c>
      <c r="D36" s="2" t="s">
        <v>281</v>
      </c>
      <c r="E36" s="2" t="s">
        <v>1087</v>
      </c>
    </row>
    <row r="37" spans="2:5" s="9" customFormat="1" ht="25.5" customHeight="1">
      <c r="B37" s="8" t="s">
        <v>282</v>
      </c>
      <c r="C37" s="206">
        <f>'17.撥補表'!E18</f>
        <v>121848</v>
      </c>
      <c r="D37" s="351" t="s">
        <v>1137</v>
      </c>
      <c r="E37" s="206">
        <f>C37</f>
        <v>121848</v>
      </c>
    </row>
    <row r="38" spans="2:5" s="9" customFormat="1" ht="45.75" customHeight="1">
      <c r="B38" s="8"/>
      <c r="C38" s="8"/>
      <c r="D38" s="8"/>
      <c r="E38" s="8"/>
    </row>
    <row r="39" spans="2:5" s="9" customFormat="1" ht="25.5" customHeight="1">
      <c r="B39" s="6"/>
      <c r="C39" s="6"/>
      <c r="D39" s="6"/>
      <c r="E39" s="6"/>
    </row>
    <row r="40" spans="2:5" s="103" customFormat="1" ht="25.5" customHeight="1">
      <c r="B40" s="2" t="s">
        <v>670</v>
      </c>
      <c r="C40" s="195">
        <f>SUM(C37:C39)</f>
        <v>121848</v>
      </c>
      <c r="D40" s="2" t="s">
        <v>670</v>
      </c>
      <c r="E40" s="195">
        <f>SUM(E37:E39)</f>
        <v>121848</v>
      </c>
    </row>
  </sheetData>
  <mergeCells count="7">
    <mergeCell ref="B20:E20"/>
    <mergeCell ref="B6:E6"/>
    <mergeCell ref="B7:E7"/>
    <mergeCell ref="B1:E1"/>
    <mergeCell ref="B2:E2"/>
    <mergeCell ref="B3:E3"/>
    <mergeCell ref="B4:E4"/>
  </mergeCells>
  <phoneticPr fontId="2" type="noConversion"/>
  <printOptions horizontalCentered="1"/>
  <pageMargins left="0.98425196850393704" right="0.98425196850393704" top="0.59055118110236227" bottom="0.78740157480314965" header="0.51181102362204722" footer="0.51181102362204722"/>
  <pageSetup paperSize="9" firstPageNumber="13" orientation="portrait" useFirstPageNumber="1" r:id="rId1"/>
  <headerFooter scaleWithDoc="0" alignWithMargins="0">
    <oddFooter>&amp;C&amp;"Arial,標準"&amp;P</oddFooter>
  </headerFooter>
  <drawing r:id="rId2"/>
</worksheet>
</file>

<file path=xl/worksheets/sheet7.xml><?xml version="1.0" encoding="utf-8"?>
<worksheet xmlns="http://schemas.openxmlformats.org/spreadsheetml/2006/main" xmlns:r="http://schemas.openxmlformats.org/officeDocument/2006/relationships">
  <sheetPr codeName="Sheet8">
    <tabColor rgb="FFFFFFCC"/>
  </sheetPr>
  <dimension ref="A1:I44"/>
  <sheetViews>
    <sheetView zoomScaleNormal="100" workbookViewId="0">
      <selection activeCell="G20" sqref="G20"/>
    </sheetView>
  </sheetViews>
  <sheetFormatPr defaultColWidth="9" defaultRowHeight="16.2"/>
  <cols>
    <col min="1" max="1" width="21.6640625" style="1" customWidth="1"/>
    <col min="2" max="6" width="11.6640625" style="1" customWidth="1"/>
    <col min="7" max="9" width="13.6640625" style="1" customWidth="1"/>
    <col min="10" max="16384" width="9" style="1"/>
  </cols>
  <sheetData>
    <row r="1" spans="1:8" ht="24.6">
      <c r="A1" s="957" t="s">
        <v>246</v>
      </c>
      <c r="B1" s="957"/>
      <c r="C1" s="957"/>
      <c r="D1" s="957"/>
      <c r="E1" s="957"/>
      <c r="F1" s="957"/>
      <c r="G1" s="455"/>
      <c r="H1" s="455"/>
    </row>
    <row r="2" spans="1:8" ht="22.2">
      <c r="A2" s="958" t="s">
        <v>247</v>
      </c>
      <c r="B2" s="958"/>
      <c r="C2" s="958"/>
      <c r="D2" s="958"/>
      <c r="E2" s="958"/>
      <c r="F2" s="958"/>
      <c r="G2" s="453"/>
      <c r="H2" s="453"/>
    </row>
    <row r="3" spans="1:8" ht="22.2">
      <c r="A3" s="959" t="s">
        <v>263</v>
      </c>
      <c r="B3" s="959"/>
      <c r="C3" s="959"/>
      <c r="D3" s="959"/>
      <c r="E3" s="959"/>
      <c r="F3" s="959"/>
      <c r="G3" s="454"/>
      <c r="H3" s="454"/>
    </row>
    <row r="4" spans="1:8" ht="19.5" customHeight="1">
      <c r="A4" s="960" t="s">
        <v>1030</v>
      </c>
      <c r="B4" s="960"/>
      <c r="C4" s="960"/>
      <c r="D4" s="960"/>
      <c r="E4" s="960"/>
      <c r="F4" s="960"/>
      <c r="G4" s="5"/>
      <c r="H4" s="5"/>
    </row>
    <row r="6" spans="1:8" ht="22.2">
      <c r="A6" s="959" t="s">
        <v>758</v>
      </c>
      <c r="B6" s="959"/>
      <c r="C6" s="959"/>
      <c r="D6" s="959"/>
      <c r="E6" s="959"/>
      <c r="F6" s="959"/>
    </row>
    <row r="34" spans="1:9" ht="24.75" customHeight="1"/>
    <row r="36" spans="1:9">
      <c r="B36" s="969" t="s">
        <v>684</v>
      </c>
      <c r="C36" s="969"/>
      <c r="D36" s="969"/>
      <c r="E36" s="969"/>
      <c r="F36" s="969"/>
      <c r="H36" s="969"/>
      <c r="I36" s="969"/>
    </row>
    <row r="37" spans="1:9" ht="3.75" customHeight="1"/>
    <row r="38" spans="1:9" hidden="1"/>
    <row r="39" spans="1:9" s="674" customFormat="1" ht="35.1" customHeight="1">
      <c r="A39" s="848" t="s">
        <v>685</v>
      </c>
      <c r="B39" s="849" t="s">
        <v>1084</v>
      </c>
      <c r="C39" s="849" t="s">
        <v>1085</v>
      </c>
      <c r="D39" s="849" t="s">
        <v>1086</v>
      </c>
      <c r="E39" s="849" t="s">
        <v>1089</v>
      </c>
      <c r="F39" s="849" t="s">
        <v>1082</v>
      </c>
    </row>
    <row r="40" spans="1:9" s="674" customFormat="1" ht="30" customHeight="1">
      <c r="A40" s="850" t="s">
        <v>1138</v>
      </c>
      <c r="B40" s="851"/>
      <c r="C40" s="851"/>
      <c r="D40" s="851"/>
      <c r="E40" s="851"/>
      <c r="F40" s="851"/>
    </row>
    <row r="41" spans="1:9" s="674" customFormat="1" ht="30" customHeight="1">
      <c r="A41" s="852" t="s">
        <v>1139</v>
      </c>
      <c r="B41" s="552">
        <v>44784</v>
      </c>
      <c r="C41" s="552">
        <v>51605</v>
      </c>
      <c r="D41" s="552">
        <v>101032</v>
      </c>
      <c r="E41" s="552">
        <v>65603</v>
      </c>
      <c r="F41" s="552">
        <f>'17.撥補表'!E18</f>
        <v>121848</v>
      </c>
    </row>
    <row r="42" spans="1:9" s="674" customFormat="1" ht="30" customHeight="1">
      <c r="A42" s="853" t="s">
        <v>1140</v>
      </c>
      <c r="B42" s="854">
        <f>SUM(B41:B41)</f>
        <v>44784</v>
      </c>
      <c r="C42" s="854">
        <f>SUM(C41:C41)</f>
        <v>51605</v>
      </c>
      <c r="D42" s="854">
        <f>SUM(D41:D41)</f>
        <v>101032</v>
      </c>
      <c r="E42" s="854">
        <f>SUM(E41:E41)</f>
        <v>65603</v>
      </c>
      <c r="F42" s="854">
        <f>SUM(F41:F41)</f>
        <v>121848</v>
      </c>
    </row>
    <row r="43" spans="1:9" s="624" customFormat="1">
      <c r="A43" s="624" t="s">
        <v>1136</v>
      </c>
    </row>
    <row r="44" spans="1:9">
      <c r="B44" s="1">
        <f>B41/1000</f>
        <v>44.783999999999999</v>
      </c>
      <c r="C44" s="1">
        <f>C41/1000</f>
        <v>51.604999999999997</v>
      </c>
      <c r="D44" s="1">
        <f>D41/1000</f>
        <v>101.032</v>
      </c>
      <c r="E44" s="1">
        <f>E41/1000</f>
        <v>65.602999999999994</v>
      </c>
      <c r="F44" s="1">
        <f>F41/1000</f>
        <v>121.848</v>
      </c>
    </row>
  </sheetData>
  <mergeCells count="7">
    <mergeCell ref="A3:F3"/>
    <mergeCell ref="A2:F2"/>
    <mergeCell ref="A1:F1"/>
    <mergeCell ref="H36:I36"/>
    <mergeCell ref="B36:F36"/>
    <mergeCell ref="A6:F6"/>
    <mergeCell ref="A4:F4"/>
  </mergeCells>
  <phoneticPr fontId="3" type="noConversion"/>
  <printOptions horizontalCentered="1"/>
  <pageMargins left="0.98425196850393704" right="0.98425196850393704" top="0.59055118110236227" bottom="0.78740157480314965" header="0.51181102362204722" footer="0.51181102362204722"/>
  <pageSetup paperSize="9" firstPageNumber="14" orientation="portrait" blackAndWhite="1" useFirstPageNumber="1" r:id="rId1"/>
  <headerFooter scaleWithDoc="0" alignWithMargins="0">
    <oddFooter>&amp;C&amp;"Arial,標準"&amp;P</oddFooter>
  </headerFooter>
  <drawing r:id="rId2"/>
</worksheet>
</file>

<file path=xl/worksheets/sheet8.xml><?xml version="1.0" encoding="utf-8"?>
<worksheet xmlns="http://schemas.openxmlformats.org/spreadsheetml/2006/main" xmlns:r="http://schemas.openxmlformats.org/officeDocument/2006/relationships">
  <sheetPr codeName="Sheet9"/>
  <dimension ref="A16:I16"/>
  <sheetViews>
    <sheetView topLeftCell="B1" zoomScaleNormal="100" workbookViewId="0">
      <selection activeCell="K17" sqref="K17:L17"/>
    </sheetView>
  </sheetViews>
  <sheetFormatPr defaultColWidth="9" defaultRowHeight="16.2"/>
  <cols>
    <col min="1" max="8" width="9" style="1"/>
    <col min="9" max="9" width="14.109375" style="1" customWidth="1"/>
    <col min="10" max="16384" width="9" style="1"/>
  </cols>
  <sheetData>
    <row r="16" spans="1:9" ht="49.8">
      <c r="A16" s="971" t="s">
        <v>285</v>
      </c>
      <c r="B16" s="971"/>
      <c r="C16" s="971"/>
      <c r="D16" s="971"/>
      <c r="E16" s="971"/>
      <c r="F16" s="971"/>
      <c r="G16" s="971"/>
      <c r="H16" s="971"/>
      <c r="I16" s="971"/>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tabColor rgb="FFFFFFCC"/>
  </sheetPr>
  <dimension ref="A1:I37"/>
  <sheetViews>
    <sheetView view="pageBreakPreview" topLeftCell="A22" zoomScale="80" zoomScaleNormal="100" zoomScaleSheetLayoutView="80" workbookViewId="0">
      <selection activeCell="A35" sqref="A35:I35"/>
    </sheetView>
  </sheetViews>
  <sheetFormatPr defaultColWidth="9" defaultRowHeight="16.2"/>
  <cols>
    <col min="1" max="1" width="9.88671875" style="610" customWidth="1"/>
    <col min="2" max="2" width="7.77734375" style="610" customWidth="1"/>
    <col min="3" max="3" width="26.44140625" style="610" customWidth="1"/>
    <col min="4" max="4" width="9.88671875" style="610" customWidth="1"/>
    <col min="5" max="5" width="8.33203125" style="610" customWidth="1"/>
    <col min="6" max="6" width="9.6640625" style="610" customWidth="1"/>
    <col min="7" max="7" width="7.88671875" style="610" customWidth="1"/>
    <col min="8" max="8" width="8.6640625" style="610" customWidth="1"/>
    <col min="9" max="9" width="8.77734375" style="610" customWidth="1"/>
    <col min="10" max="16384" width="9" style="610"/>
  </cols>
  <sheetData>
    <row r="1" spans="1:9" ht="24.6">
      <c r="A1" s="976" t="s">
        <v>152</v>
      </c>
      <c r="B1" s="977"/>
      <c r="C1" s="977"/>
      <c r="D1" s="977"/>
      <c r="E1" s="977"/>
      <c r="F1" s="977"/>
      <c r="G1" s="977"/>
      <c r="H1" s="977"/>
      <c r="I1" s="977"/>
    </row>
    <row r="2" spans="1:9" ht="22.2">
      <c r="A2" s="978" t="s">
        <v>153</v>
      </c>
      <c r="B2" s="978"/>
      <c r="C2" s="978"/>
      <c r="D2" s="978"/>
      <c r="E2" s="978"/>
      <c r="F2" s="978"/>
      <c r="G2" s="978"/>
      <c r="H2" s="978"/>
      <c r="I2" s="978"/>
    </row>
    <row r="3" spans="1:9" ht="22.2">
      <c r="A3" s="979" t="s">
        <v>1095</v>
      </c>
      <c r="B3" s="979"/>
      <c r="C3" s="979"/>
      <c r="D3" s="979"/>
      <c r="E3" s="979"/>
      <c r="F3" s="979"/>
      <c r="G3" s="979"/>
      <c r="H3" s="979"/>
      <c r="I3" s="979"/>
    </row>
    <row r="4" spans="1:9" s="611" customFormat="1" ht="19.8">
      <c r="A4" s="980" t="s">
        <v>1035</v>
      </c>
      <c r="B4" s="980"/>
      <c r="C4" s="980"/>
      <c r="D4" s="980"/>
      <c r="E4" s="980"/>
      <c r="F4" s="980"/>
      <c r="G4" s="980"/>
      <c r="H4" s="980"/>
      <c r="I4" s="980"/>
    </row>
    <row r="5" spans="1:9" s="611" customFormat="1" ht="16.8" thickBot="1">
      <c r="C5" s="612"/>
      <c r="D5" s="612"/>
      <c r="E5" s="612"/>
      <c r="F5" s="612"/>
      <c r="G5" s="612"/>
      <c r="I5" s="613" t="s">
        <v>672</v>
      </c>
    </row>
    <row r="6" spans="1:9" s="614" customFormat="1" ht="22.05" customHeight="1">
      <c r="A6" s="981" t="s">
        <v>1036</v>
      </c>
      <c r="B6" s="982"/>
      <c r="C6" s="986" t="s">
        <v>428</v>
      </c>
      <c r="D6" s="985" t="s">
        <v>157</v>
      </c>
      <c r="E6" s="982"/>
      <c r="F6" s="985" t="s">
        <v>62</v>
      </c>
      <c r="G6" s="982"/>
      <c r="H6" s="983" t="s">
        <v>429</v>
      </c>
      <c r="I6" s="984"/>
    </row>
    <row r="7" spans="1:9" s="614" customFormat="1" ht="22.05" customHeight="1">
      <c r="A7" s="615" t="s">
        <v>430</v>
      </c>
      <c r="B7" s="616" t="s">
        <v>431</v>
      </c>
      <c r="C7" s="987"/>
      <c r="D7" s="616" t="s">
        <v>430</v>
      </c>
      <c r="E7" s="616" t="s">
        <v>431</v>
      </c>
      <c r="F7" s="616" t="s">
        <v>430</v>
      </c>
      <c r="G7" s="616" t="s">
        <v>431</v>
      </c>
      <c r="H7" s="616" t="s">
        <v>430</v>
      </c>
      <c r="I7" s="617" t="s">
        <v>431</v>
      </c>
    </row>
    <row r="8" spans="1:9" s="618" customFormat="1" ht="25.05" customHeight="1">
      <c r="A8" s="488">
        <f>SUM(A9,A11)-1</f>
        <v>636178</v>
      </c>
      <c r="B8" s="339">
        <f t="shared" ref="B8:B24" si="0">A8/$A$8*100</f>
        <v>100</v>
      </c>
      <c r="C8" s="340" t="s">
        <v>432</v>
      </c>
      <c r="D8" s="341">
        <f>SUM(D9,D11)</f>
        <v>620324</v>
      </c>
      <c r="E8" s="339">
        <f t="shared" ref="E8:E31" si="1">D8/$D$8*100</f>
        <v>100</v>
      </c>
      <c r="F8" s="341">
        <f>SUM(F9,F11)</f>
        <v>653094</v>
      </c>
      <c r="G8" s="339">
        <f>F8/$F$8*100</f>
        <v>100</v>
      </c>
      <c r="H8" s="361">
        <f>D8-F8</f>
        <v>-32770</v>
      </c>
      <c r="I8" s="363">
        <f>H8/F8*100</f>
        <v>-5.0176544264684715</v>
      </c>
    </row>
    <row r="9" spans="1:9" s="619" customFormat="1" ht="25.05" customHeight="1">
      <c r="A9" s="489">
        <f>SUM(A10:A10)</f>
        <v>634336</v>
      </c>
      <c r="B9" s="342">
        <f t="shared" si="0"/>
        <v>99.710458393719989</v>
      </c>
      <c r="C9" s="343" t="s">
        <v>433</v>
      </c>
      <c r="D9" s="344">
        <f>SUM(D10:D10)</f>
        <v>619225</v>
      </c>
      <c r="E9" s="342">
        <f>D9/$D$8*100</f>
        <v>99.822834518735377</v>
      </c>
      <c r="F9" s="344">
        <f>SUM(F10:F10)</f>
        <v>651995</v>
      </c>
      <c r="G9" s="342">
        <f t="shared" ref="G9:G31" si="2">F9/$F$8*100</f>
        <v>99.831724070348216</v>
      </c>
      <c r="H9" s="345">
        <f>D9-F9</f>
        <v>-32770</v>
      </c>
      <c r="I9" s="364">
        <f t="shared" ref="I9:I31" si="3">H9/F9*100</f>
        <v>-5.026112163436836</v>
      </c>
    </row>
    <row r="10" spans="1:9" s="619" customFormat="1" ht="25.05" customHeight="1">
      <c r="A10" s="489">
        <v>634336</v>
      </c>
      <c r="B10" s="342">
        <f t="shared" si="0"/>
        <v>99.710458393719989</v>
      </c>
      <c r="C10" s="343" t="s">
        <v>434</v>
      </c>
      <c r="D10" s="344">
        <f>'19.勞務收入明細'!F9</f>
        <v>619225</v>
      </c>
      <c r="E10" s="342">
        <f t="shared" si="1"/>
        <v>99.822834518735377</v>
      </c>
      <c r="F10" s="344">
        <v>651995</v>
      </c>
      <c r="G10" s="342">
        <f t="shared" si="2"/>
        <v>99.831724070348216</v>
      </c>
      <c r="H10" s="345">
        <f t="shared" ref="H10:H31" si="4">D10-F10</f>
        <v>-32770</v>
      </c>
      <c r="I10" s="364">
        <f t="shared" si="3"/>
        <v>-5.026112163436836</v>
      </c>
    </row>
    <row r="11" spans="1:9" s="619" customFormat="1" ht="25.05" customHeight="1">
      <c r="A11" s="489">
        <f>A12+A13</f>
        <v>1843</v>
      </c>
      <c r="B11" s="342">
        <f t="shared" si="0"/>
        <v>0.28969879499133888</v>
      </c>
      <c r="C11" s="346" t="s">
        <v>435</v>
      </c>
      <c r="D11" s="344">
        <f>SUM(D13:D13)</f>
        <v>1099</v>
      </c>
      <c r="E11" s="342">
        <f t="shared" si="1"/>
        <v>0.17716548126462944</v>
      </c>
      <c r="F11" s="344">
        <f>SUM(F13:F13)</f>
        <v>1099</v>
      </c>
      <c r="G11" s="342">
        <f t="shared" si="2"/>
        <v>0.16827592965178059</v>
      </c>
      <c r="H11" s="345">
        <f t="shared" si="4"/>
        <v>0</v>
      </c>
      <c r="I11" s="364">
        <f t="shared" si="3"/>
        <v>0</v>
      </c>
    </row>
    <row r="12" spans="1:9" s="619" customFormat="1" ht="25.05" customHeight="1">
      <c r="A12" s="489">
        <v>1843</v>
      </c>
      <c r="B12" s="342">
        <f t="shared" ref="B12:B13" si="5">A12/$A$8*100</f>
        <v>0.28969879499133888</v>
      </c>
      <c r="C12" s="346" t="s">
        <v>914</v>
      </c>
      <c r="D12" s="344">
        <v>0</v>
      </c>
      <c r="E12" s="344">
        <f t="shared" si="1"/>
        <v>0</v>
      </c>
      <c r="F12" s="344">
        <v>0</v>
      </c>
      <c r="G12" s="344">
        <f t="shared" si="2"/>
        <v>0</v>
      </c>
      <c r="H12" s="345">
        <v>0</v>
      </c>
      <c r="I12" s="364">
        <v>0</v>
      </c>
    </row>
    <row r="13" spans="1:9" s="619" customFormat="1" ht="25.05" customHeight="1">
      <c r="A13" s="489">
        <v>0</v>
      </c>
      <c r="B13" s="344">
        <f t="shared" si="5"/>
        <v>0</v>
      </c>
      <c r="C13" s="346" t="s">
        <v>862</v>
      </c>
      <c r="D13" s="344">
        <v>1099</v>
      </c>
      <c r="E13" s="342">
        <f t="shared" si="1"/>
        <v>0.17716548126462944</v>
      </c>
      <c r="F13" s="344">
        <v>1099</v>
      </c>
      <c r="G13" s="342">
        <f t="shared" si="2"/>
        <v>0.16827592965178059</v>
      </c>
      <c r="H13" s="345">
        <f t="shared" si="4"/>
        <v>0</v>
      </c>
      <c r="I13" s="364">
        <f t="shared" si="3"/>
        <v>0</v>
      </c>
    </row>
    <row r="14" spans="1:9" s="618" customFormat="1" ht="25.05" customHeight="1">
      <c r="A14" s="490">
        <f>SUM(A15,A17)</f>
        <v>592879</v>
      </c>
      <c r="B14" s="347">
        <f t="shared" si="0"/>
        <v>93.193885987883903</v>
      </c>
      <c r="C14" s="348" t="s">
        <v>722</v>
      </c>
      <c r="D14" s="349">
        <f>SUM(D15,D17)</f>
        <v>613566</v>
      </c>
      <c r="E14" s="347">
        <f t="shared" si="1"/>
        <v>98.910569315390021</v>
      </c>
      <c r="F14" s="349">
        <f>SUM(F15,F17)</f>
        <v>647096</v>
      </c>
      <c r="G14" s="347">
        <f t="shared" si="2"/>
        <v>99.081602342082448</v>
      </c>
      <c r="H14" s="349">
        <f t="shared" si="4"/>
        <v>-33530</v>
      </c>
      <c r="I14" s="365">
        <f t="shared" si="3"/>
        <v>-5.1816113837823137</v>
      </c>
    </row>
    <row r="15" spans="1:9" s="619" customFormat="1" ht="25.05" customHeight="1">
      <c r="A15" s="489">
        <f>SUM(A16:A16)</f>
        <v>592879</v>
      </c>
      <c r="B15" s="342">
        <f t="shared" si="0"/>
        <v>93.193885987883903</v>
      </c>
      <c r="C15" s="343" t="s">
        <v>436</v>
      </c>
      <c r="D15" s="344">
        <f>SUM(D16:D16)</f>
        <v>612467</v>
      </c>
      <c r="E15" s="342">
        <f t="shared" si="1"/>
        <v>98.733403834125383</v>
      </c>
      <c r="F15" s="344">
        <f>SUM(F16:F16)</f>
        <v>645997</v>
      </c>
      <c r="G15" s="342">
        <f t="shared" si="2"/>
        <v>98.913326412430678</v>
      </c>
      <c r="H15" s="344">
        <f>D15-F15</f>
        <v>-33530</v>
      </c>
      <c r="I15" s="364">
        <f t="shared" si="3"/>
        <v>-5.1904265809283947</v>
      </c>
    </row>
    <row r="16" spans="1:9" s="619" customFormat="1" ht="25.05" customHeight="1">
      <c r="A16" s="489">
        <v>592879</v>
      </c>
      <c r="B16" s="342">
        <f t="shared" si="0"/>
        <v>93.193885987883903</v>
      </c>
      <c r="C16" s="343" t="s">
        <v>437</v>
      </c>
      <c r="D16" s="344">
        <f>'23-24.勞務成本明細6級'!F9</f>
        <v>612467</v>
      </c>
      <c r="E16" s="342">
        <f t="shared" si="1"/>
        <v>98.733403834125383</v>
      </c>
      <c r="F16" s="344">
        <v>645997</v>
      </c>
      <c r="G16" s="342">
        <f t="shared" si="2"/>
        <v>98.913326412430678</v>
      </c>
      <c r="H16" s="344">
        <f t="shared" si="4"/>
        <v>-33530</v>
      </c>
      <c r="I16" s="364">
        <f>H16/F16*100</f>
        <v>-5.1904265809283947</v>
      </c>
    </row>
    <row r="17" spans="1:9" s="619" customFormat="1" ht="25.05" customHeight="1">
      <c r="A17" s="489">
        <f>SUM(A18:A18)</f>
        <v>0</v>
      </c>
      <c r="B17" s="344">
        <f t="shared" si="0"/>
        <v>0</v>
      </c>
      <c r="C17" s="343" t="s">
        <v>438</v>
      </c>
      <c r="D17" s="344">
        <f>SUM(D18:D18)</f>
        <v>1099</v>
      </c>
      <c r="E17" s="342">
        <f t="shared" si="1"/>
        <v>0.17716548126462944</v>
      </c>
      <c r="F17" s="344">
        <f>SUM(F18:F18)</f>
        <v>1099</v>
      </c>
      <c r="G17" s="342">
        <f t="shared" si="2"/>
        <v>0.16827592965178059</v>
      </c>
      <c r="H17" s="344">
        <f>D17-F17</f>
        <v>0</v>
      </c>
      <c r="I17" s="364">
        <f t="shared" si="3"/>
        <v>0</v>
      </c>
    </row>
    <row r="18" spans="1:9" s="619" customFormat="1" ht="25.05" customHeight="1">
      <c r="A18" s="489">
        <v>0</v>
      </c>
      <c r="B18" s="344">
        <f t="shared" si="0"/>
        <v>0</v>
      </c>
      <c r="C18" s="343" t="s">
        <v>439</v>
      </c>
      <c r="D18" s="344">
        <f>'27.其他業務成本明細 (6級)'!E9</f>
        <v>1099</v>
      </c>
      <c r="E18" s="342">
        <f t="shared" si="1"/>
        <v>0.17716548126462944</v>
      </c>
      <c r="F18" s="344">
        <v>1099</v>
      </c>
      <c r="G18" s="342">
        <f t="shared" si="2"/>
        <v>0.16827592965178059</v>
      </c>
      <c r="H18" s="344">
        <f t="shared" si="4"/>
        <v>0</v>
      </c>
      <c r="I18" s="364">
        <f t="shared" si="3"/>
        <v>0</v>
      </c>
    </row>
    <row r="19" spans="1:9" s="619" customFormat="1" ht="25.05" customHeight="1">
      <c r="A19" s="491">
        <f>A8-A14</f>
        <v>43299</v>
      </c>
      <c r="B19" s="347">
        <f t="shared" si="0"/>
        <v>6.8061140121161063</v>
      </c>
      <c r="C19" s="348" t="s">
        <v>739</v>
      </c>
      <c r="D19" s="350">
        <f>D8-D14</f>
        <v>6758</v>
      </c>
      <c r="E19" s="347">
        <f t="shared" si="1"/>
        <v>1.0894306846099779</v>
      </c>
      <c r="F19" s="350">
        <f>F8-F14</f>
        <v>5998</v>
      </c>
      <c r="G19" s="347">
        <f t="shared" si="2"/>
        <v>0.91839765791754335</v>
      </c>
      <c r="H19" s="362">
        <f t="shared" si="4"/>
        <v>760</v>
      </c>
      <c r="I19" s="365">
        <f>H19/F19*100</f>
        <v>12.670890296765588</v>
      </c>
    </row>
    <row r="20" spans="1:9" s="618" customFormat="1" ht="25.05" customHeight="1">
      <c r="A20" s="490">
        <f>A21+A23</f>
        <v>6139</v>
      </c>
      <c r="B20" s="347">
        <f>A20/$A$8*100+0.01</f>
        <v>0.97498149888867591</v>
      </c>
      <c r="C20" s="348" t="s">
        <v>440</v>
      </c>
      <c r="D20" s="349">
        <f>D21+D23</f>
        <v>3800</v>
      </c>
      <c r="E20" s="347">
        <f t="shared" si="1"/>
        <v>0.6125831017339326</v>
      </c>
      <c r="F20" s="349">
        <f>F21+F23</f>
        <v>4360</v>
      </c>
      <c r="G20" s="347">
        <f t="shared" si="2"/>
        <v>0.66759149525183203</v>
      </c>
      <c r="H20" s="362">
        <f t="shared" si="4"/>
        <v>-560</v>
      </c>
      <c r="I20" s="365">
        <f t="shared" si="3"/>
        <v>-12.844036697247708</v>
      </c>
    </row>
    <row r="21" spans="1:9" s="618" customFormat="1" ht="25.05" customHeight="1">
      <c r="A21" s="489">
        <f>A22</f>
        <v>2344</v>
      </c>
      <c r="B21" s="342">
        <f t="shared" si="0"/>
        <v>0.36845033937042782</v>
      </c>
      <c r="C21" s="343" t="s">
        <v>442</v>
      </c>
      <c r="D21" s="344">
        <f>SUM(D22)</f>
        <v>1800</v>
      </c>
      <c r="E21" s="342">
        <f t="shared" si="1"/>
        <v>0.29017094292659967</v>
      </c>
      <c r="F21" s="344">
        <f>SUM(F22)</f>
        <v>2360</v>
      </c>
      <c r="G21" s="342">
        <f>F21/$F$8*100</f>
        <v>0.36135686440236781</v>
      </c>
      <c r="H21" s="345">
        <f t="shared" si="4"/>
        <v>-560</v>
      </c>
      <c r="I21" s="364">
        <f>H21/F21*100</f>
        <v>-23.728813559322035</v>
      </c>
    </row>
    <row r="22" spans="1:9" s="618" customFormat="1" ht="25.05" customHeight="1">
      <c r="A22" s="489">
        <v>2344</v>
      </c>
      <c r="B22" s="342">
        <f t="shared" si="0"/>
        <v>0.36845033937042782</v>
      </c>
      <c r="C22" s="343" t="s">
        <v>443</v>
      </c>
      <c r="D22" s="344">
        <f>'21.財務收入明細 利息'!C9</f>
        <v>1800</v>
      </c>
      <c r="E22" s="342">
        <f t="shared" si="1"/>
        <v>0.29017094292659967</v>
      </c>
      <c r="F22" s="344">
        <v>2360</v>
      </c>
      <c r="G22" s="342">
        <f t="shared" si="2"/>
        <v>0.36135686440236781</v>
      </c>
      <c r="H22" s="345">
        <f t="shared" si="4"/>
        <v>-560</v>
      </c>
      <c r="I22" s="364">
        <f t="shared" si="3"/>
        <v>-23.728813559322035</v>
      </c>
    </row>
    <row r="23" spans="1:9" s="618" customFormat="1" ht="25.05" customHeight="1">
      <c r="A23" s="489">
        <f>SUM(A24:A26)</f>
        <v>3795</v>
      </c>
      <c r="B23" s="342">
        <f t="shared" si="0"/>
        <v>0.59653115951824809</v>
      </c>
      <c r="C23" s="343" t="s">
        <v>444</v>
      </c>
      <c r="D23" s="344">
        <f>SUM(D24:D26)</f>
        <v>2000</v>
      </c>
      <c r="E23" s="342">
        <f>D23/$D$8*100</f>
        <v>0.32241215880733298</v>
      </c>
      <c r="F23" s="344">
        <f>SUM(F24:F26)</f>
        <v>2000</v>
      </c>
      <c r="G23" s="342">
        <f t="shared" si="2"/>
        <v>0.30623463084946423</v>
      </c>
      <c r="H23" s="344">
        <f>SUM(H24:H26)</f>
        <v>0</v>
      </c>
      <c r="I23" s="364">
        <f t="shared" si="3"/>
        <v>0</v>
      </c>
    </row>
    <row r="24" spans="1:9" s="618" customFormat="1" ht="25.05" customHeight="1">
      <c r="A24" s="489">
        <v>220</v>
      </c>
      <c r="B24" s="342">
        <f t="shared" si="0"/>
        <v>3.4581516493811477E-2</v>
      </c>
      <c r="C24" s="343" t="s">
        <v>445</v>
      </c>
      <c r="D24" s="344">
        <v>0</v>
      </c>
      <c r="E24" s="344">
        <f>D24/$D$8*100</f>
        <v>0</v>
      </c>
      <c r="F24" s="344">
        <v>0</v>
      </c>
      <c r="G24" s="818">
        <f t="shared" si="2"/>
        <v>0</v>
      </c>
      <c r="H24" s="817">
        <f t="shared" si="4"/>
        <v>0</v>
      </c>
      <c r="I24" s="364">
        <v>0</v>
      </c>
    </row>
    <row r="25" spans="1:9" s="618" customFormat="1" ht="25.05" customHeight="1">
      <c r="A25" s="489">
        <v>31</v>
      </c>
      <c r="B25" s="342">
        <f t="shared" ref="B25:B31" si="6">A25/$A$8*100</f>
        <v>4.8728500514007081E-3</v>
      </c>
      <c r="C25" s="343" t="s">
        <v>505</v>
      </c>
      <c r="D25" s="344">
        <v>0</v>
      </c>
      <c r="E25" s="344">
        <f t="shared" si="1"/>
        <v>0</v>
      </c>
      <c r="F25" s="344">
        <v>0</v>
      </c>
      <c r="G25" s="818">
        <f t="shared" si="2"/>
        <v>0</v>
      </c>
      <c r="H25" s="817">
        <f t="shared" si="4"/>
        <v>0</v>
      </c>
      <c r="I25" s="364">
        <v>0</v>
      </c>
    </row>
    <row r="26" spans="1:9" s="618" customFormat="1" ht="25.05" customHeight="1">
      <c r="A26" s="489">
        <v>3544</v>
      </c>
      <c r="B26" s="342">
        <f t="shared" si="6"/>
        <v>0.55707679297303581</v>
      </c>
      <c r="C26" s="343" t="s">
        <v>506</v>
      </c>
      <c r="D26" s="344">
        <f>'22.其他業務外收入明細'!C9</f>
        <v>2000</v>
      </c>
      <c r="E26" s="342">
        <f t="shared" si="1"/>
        <v>0.32241215880733298</v>
      </c>
      <c r="F26" s="344">
        <v>2000</v>
      </c>
      <c r="G26" s="342">
        <f t="shared" si="2"/>
        <v>0.30623463084946423</v>
      </c>
      <c r="H26" s="344">
        <f t="shared" si="4"/>
        <v>0</v>
      </c>
      <c r="I26" s="364">
        <f t="shared" si="3"/>
        <v>0</v>
      </c>
    </row>
    <row r="27" spans="1:9" s="618" customFormat="1" ht="25.05" customHeight="1">
      <c r="A27" s="490">
        <f>A28</f>
        <v>12</v>
      </c>
      <c r="B27" s="347">
        <f t="shared" si="6"/>
        <v>1.8862645360260806E-3</v>
      </c>
      <c r="C27" s="348" t="s">
        <v>441</v>
      </c>
      <c r="D27" s="349">
        <f>D28</f>
        <v>50</v>
      </c>
      <c r="E27" s="347">
        <f t="shared" si="1"/>
        <v>8.0603039701833239E-3</v>
      </c>
      <c r="F27" s="349">
        <f>F28</f>
        <v>50</v>
      </c>
      <c r="G27" s="347">
        <f t="shared" si="2"/>
        <v>7.6558657712366062E-3</v>
      </c>
      <c r="H27" s="349">
        <f t="shared" si="4"/>
        <v>0</v>
      </c>
      <c r="I27" s="365">
        <f>H27/F27*100</f>
        <v>0</v>
      </c>
    </row>
    <row r="28" spans="1:9" s="618" customFormat="1" ht="25.05" customHeight="1">
      <c r="A28" s="489">
        <f>A29</f>
        <v>12</v>
      </c>
      <c r="B28" s="342">
        <f t="shared" si="6"/>
        <v>1.8862645360260806E-3</v>
      </c>
      <c r="C28" s="343" t="s">
        <v>446</v>
      </c>
      <c r="D28" s="344">
        <f>D29</f>
        <v>50</v>
      </c>
      <c r="E28" s="342">
        <f>D28/$D$8*100</f>
        <v>8.0603039701833239E-3</v>
      </c>
      <c r="F28" s="344">
        <f>F29</f>
        <v>50</v>
      </c>
      <c r="G28" s="342">
        <f t="shared" si="2"/>
        <v>7.6558657712366062E-3</v>
      </c>
      <c r="H28" s="344">
        <f t="shared" si="4"/>
        <v>0</v>
      </c>
      <c r="I28" s="364">
        <f t="shared" si="3"/>
        <v>0</v>
      </c>
    </row>
    <row r="29" spans="1:9" s="618" customFormat="1" ht="25.05" customHeight="1">
      <c r="A29" s="489">
        <v>12</v>
      </c>
      <c r="B29" s="342">
        <f t="shared" si="6"/>
        <v>1.8862645360260806E-3</v>
      </c>
      <c r="C29" s="343" t="s">
        <v>447</v>
      </c>
      <c r="D29" s="344">
        <f>'29.其他業務外費用明細6級'!E9</f>
        <v>50</v>
      </c>
      <c r="E29" s="342">
        <f t="shared" si="1"/>
        <v>8.0603039701833239E-3</v>
      </c>
      <c r="F29" s="344">
        <v>50</v>
      </c>
      <c r="G29" s="342">
        <f t="shared" si="2"/>
        <v>7.6558657712366062E-3</v>
      </c>
      <c r="H29" s="344">
        <f t="shared" si="4"/>
        <v>0</v>
      </c>
      <c r="I29" s="364">
        <f t="shared" si="3"/>
        <v>0</v>
      </c>
    </row>
    <row r="30" spans="1:9" s="618" customFormat="1" ht="25.05" customHeight="1">
      <c r="A30" s="490">
        <f>A20-A27+1</f>
        <v>6128</v>
      </c>
      <c r="B30" s="347">
        <f t="shared" si="6"/>
        <v>0.96325242306398529</v>
      </c>
      <c r="C30" s="348" t="s">
        <v>738</v>
      </c>
      <c r="D30" s="349">
        <f>D20-D27</f>
        <v>3750</v>
      </c>
      <c r="E30" s="347">
        <f t="shared" si="1"/>
        <v>0.60452279776374929</v>
      </c>
      <c r="F30" s="349">
        <f>F20-F27</f>
        <v>4310</v>
      </c>
      <c r="G30" s="347">
        <f t="shared" si="2"/>
        <v>0.65993562948059548</v>
      </c>
      <c r="H30" s="362">
        <f t="shared" si="4"/>
        <v>-560</v>
      </c>
      <c r="I30" s="365">
        <f t="shared" si="3"/>
        <v>-12.993039443155451</v>
      </c>
    </row>
    <row r="31" spans="1:9" s="618" customFormat="1" ht="25.05" customHeight="1">
      <c r="A31" s="491">
        <f>A19+A30</f>
        <v>49427</v>
      </c>
      <c r="B31" s="347">
        <f t="shared" si="6"/>
        <v>7.7693664351800917</v>
      </c>
      <c r="C31" s="348" t="s">
        <v>740</v>
      </c>
      <c r="D31" s="350">
        <f>D19+D30</f>
        <v>10508</v>
      </c>
      <c r="E31" s="347">
        <f t="shared" si="1"/>
        <v>1.6939534823737272</v>
      </c>
      <c r="F31" s="350">
        <f>F19+F30</f>
        <v>10308</v>
      </c>
      <c r="G31" s="347">
        <f t="shared" si="2"/>
        <v>1.5783332873981388</v>
      </c>
      <c r="H31" s="362">
        <f t="shared" si="4"/>
        <v>200</v>
      </c>
      <c r="I31" s="365">
        <f t="shared" si="3"/>
        <v>1.9402405898331394</v>
      </c>
    </row>
    <row r="32" spans="1:9" s="618" customFormat="1" ht="25.05" customHeight="1">
      <c r="A32" s="491"/>
      <c r="B32" s="347"/>
      <c r="C32" s="348"/>
      <c r="D32" s="350"/>
      <c r="E32" s="347"/>
      <c r="F32" s="350"/>
      <c r="G32" s="347"/>
      <c r="H32" s="362"/>
      <c r="I32" s="365"/>
    </row>
    <row r="33" spans="1:9" s="618" customFormat="1" ht="18" customHeight="1">
      <c r="A33" s="491"/>
      <c r="B33" s="347"/>
      <c r="C33" s="348"/>
      <c r="D33" s="350"/>
      <c r="E33" s="347"/>
      <c r="F33" s="350"/>
      <c r="G33" s="347"/>
      <c r="H33" s="362"/>
      <c r="I33" s="365"/>
    </row>
    <row r="34" spans="1:9" s="619" customFormat="1" ht="25.8" customHeight="1" thickBot="1">
      <c r="A34" s="620"/>
      <c r="B34" s="621"/>
      <c r="C34" s="622"/>
      <c r="D34" s="621"/>
      <c r="E34" s="621"/>
      <c r="F34" s="621"/>
      <c r="G34" s="621"/>
      <c r="H34" s="621"/>
      <c r="I34" s="623"/>
    </row>
    <row r="35" spans="1:9">
      <c r="A35" s="972" t="s">
        <v>1149</v>
      </c>
      <c r="B35" s="973"/>
      <c r="C35" s="973"/>
      <c r="D35" s="973"/>
      <c r="E35" s="973"/>
      <c r="F35" s="973"/>
      <c r="G35" s="973"/>
      <c r="H35" s="973"/>
      <c r="I35" s="973"/>
    </row>
    <row r="36" spans="1:9">
      <c r="A36" s="974" t="s">
        <v>1092</v>
      </c>
      <c r="B36" s="975"/>
      <c r="C36" s="975"/>
      <c r="D36" s="975"/>
      <c r="E36" s="975"/>
      <c r="F36" s="975"/>
      <c r="G36" s="975"/>
      <c r="H36" s="975"/>
      <c r="I36" s="975"/>
    </row>
    <row r="37" spans="1:9">
      <c r="A37" s="624"/>
    </row>
  </sheetData>
  <mergeCells count="11">
    <mergeCell ref="A35:I35"/>
    <mergeCell ref="A36:I36"/>
    <mergeCell ref="A1:I1"/>
    <mergeCell ref="A2:I2"/>
    <mergeCell ref="A3:I3"/>
    <mergeCell ref="A4:I4"/>
    <mergeCell ref="A6:B6"/>
    <mergeCell ref="H6:I6"/>
    <mergeCell ref="D6:E6"/>
    <mergeCell ref="F6:G6"/>
    <mergeCell ref="C6:C7"/>
  </mergeCells>
  <phoneticPr fontId="2" type="noConversion"/>
  <printOptions horizontalCentered="1"/>
  <pageMargins left="0.6692913385826772" right="0.6692913385826772" top="0.59055118110236227" bottom="0.78740157480314965" header="0.47244094488188981" footer="0.51181102362204722"/>
  <pageSetup paperSize="9" scale="90" firstPageNumber="15" orientation="portrait" useFirstPageNumber="1" errors="dash" r:id="rId1"/>
  <headerFooter scaleWithDoc="0" alignWithMargins="0">
    <oddFooter>&amp;C&amp;"Arial Unicode MS,標準"&amp;P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54</vt:i4>
      </vt:variant>
      <vt:variant>
        <vt:lpstr>已命名的範圍</vt:lpstr>
      </vt:variant>
      <vt:variant>
        <vt:i4>36</vt:i4>
      </vt:variant>
    </vt:vector>
  </HeadingPairs>
  <TitlesOfParts>
    <vt:vector size="90" baseType="lpstr">
      <vt:lpstr>目次-</vt:lpstr>
      <vt:lpstr>隔頁-(業務計畫及預算說明)</vt:lpstr>
      <vt:lpstr>10.圖1</vt:lpstr>
      <vt:lpstr>11.圖2</vt:lpstr>
      <vt:lpstr>12.圖3</vt:lpstr>
      <vt:lpstr>13.圖4</vt:lpstr>
      <vt:lpstr>14.圖5</vt:lpstr>
      <vt:lpstr>隔頁 (主要表)</vt:lpstr>
      <vt:lpstr>15.收支預計表</vt:lpstr>
      <vt:lpstr>16.收支預計表說明 </vt:lpstr>
      <vt:lpstr>17.撥補表</vt:lpstr>
      <vt:lpstr>18.現金流量表 </vt:lpstr>
      <vt:lpstr>隔頁 ('明細表)</vt:lpstr>
      <vt:lpstr>19.勞務收入明細</vt:lpstr>
      <vt:lpstr>20.其他業務收入</vt:lpstr>
      <vt:lpstr>21.財務收入明細 利息</vt:lpstr>
      <vt:lpstr>22.其他業務外收入明細</vt:lpstr>
      <vt:lpstr>23-24.勞務成本明細6級</vt:lpstr>
      <vt:lpstr>21-22.勞務成本明細7級</vt:lpstr>
      <vt:lpstr>27.其他業務成本明細 (6級)</vt:lpstr>
      <vt:lpstr>23.其他業務成本明細7級(X)</vt:lpstr>
      <vt:lpstr>29.其他業務外費用明細6級</vt:lpstr>
      <vt:lpstr>24.其他業務外費用明細7級(X) </vt:lpstr>
      <vt:lpstr>31.固定資產建改擴明細表</vt:lpstr>
      <vt:lpstr>32.固定資產資金來源明細表</vt:lpstr>
      <vt:lpstr>33.隔頁 (空白25)</vt:lpstr>
      <vt:lpstr>34-35.固定資產計畫進度明細表</vt:lpstr>
      <vt:lpstr>36.資產折舊明細表</vt:lpstr>
      <vt:lpstr>30.資產折舊明細表 (2)</vt:lpstr>
      <vt:lpstr>37.基金數額增減明細表</vt:lpstr>
      <vt:lpstr>31.基金數額增減明細表 (2)</vt:lpstr>
      <vt:lpstr>38.隔頁 (空白30)</vt:lpstr>
      <vt:lpstr>32.隔頁 (空白32)</vt:lpstr>
      <vt:lpstr>隔頁 (參考表)</vt:lpstr>
      <vt:lpstr>33.隔頁 (空白33)</vt:lpstr>
      <vt:lpstr>34-35.預計平衡表 (2)</vt:lpstr>
      <vt:lpstr>39.預計平衡表</vt:lpstr>
      <vt:lpstr>36.預計平衡表 (4級)</vt:lpstr>
      <vt:lpstr>40.營運項目分析表</vt:lpstr>
      <vt:lpstr>36.營運項目分析表 (2)</vt:lpstr>
      <vt:lpstr>41.員工人數彙計表(1)</vt:lpstr>
      <vt:lpstr>37.員工人數彙計表(2)</vt:lpstr>
      <vt:lpstr>42-43.用人費用彙計表</vt:lpstr>
      <vt:lpstr>38-39.用人費用彙計表(2)</vt:lpstr>
      <vt:lpstr>44-45.各項費用彙計表(6級)</vt:lpstr>
      <vt:lpstr>40-41.各項費用彙計表(7級) </vt:lpstr>
      <vt:lpstr>46.隔頁 (空白38)</vt:lpstr>
      <vt:lpstr>43.隔頁 (空白43)</vt:lpstr>
      <vt:lpstr>附錄</vt:lpstr>
      <vt:lpstr>100設備分年性項目明細表(X)</vt:lpstr>
      <vt:lpstr>.100設備分年性項目明細表(X)</vt:lpstr>
      <vt:lpstr>封底 </vt:lpstr>
      <vt:lpstr>明細表</vt:lpstr>
      <vt:lpstr>Sheet1</vt:lpstr>
      <vt:lpstr>'10.圖1'!Print_Area</vt:lpstr>
      <vt:lpstr>'11.圖2'!Print_Area</vt:lpstr>
      <vt:lpstr>'12.圖3'!Print_Area</vt:lpstr>
      <vt:lpstr>'13.圖4'!Print_Area</vt:lpstr>
      <vt:lpstr>'14.圖5'!Print_Area</vt:lpstr>
      <vt:lpstr>'17.撥補表'!Print_Area</vt:lpstr>
      <vt:lpstr>'18.現金流量表 '!Print_Area</vt:lpstr>
      <vt:lpstr>'19.勞務收入明細'!Print_Area</vt:lpstr>
      <vt:lpstr>'20.其他業務收入'!Print_Area</vt:lpstr>
      <vt:lpstr>'21.財務收入明細 利息'!Print_Area</vt:lpstr>
      <vt:lpstr>'21-22.勞務成本明細7級'!Print_Area</vt:lpstr>
      <vt:lpstr>'22.其他業務外收入明細'!Print_Area</vt:lpstr>
      <vt:lpstr>'23.其他業務成本明細7級(X)'!Print_Area</vt:lpstr>
      <vt:lpstr>'24.其他業務外費用明細7級(X) '!Print_Area</vt:lpstr>
      <vt:lpstr>'27.其他業務成本明細 (6級)'!Print_Area</vt:lpstr>
      <vt:lpstr>'29.其他業務外費用明細6級'!Print_Area</vt:lpstr>
      <vt:lpstr>'34-35.固定資產計畫進度明細表'!Print_Area</vt:lpstr>
      <vt:lpstr>'34-35.預計平衡表 (2)'!Print_Area</vt:lpstr>
      <vt:lpstr>'36.預計平衡表 (4級)'!Print_Area</vt:lpstr>
      <vt:lpstr>'39.預計平衡表'!Print_Area</vt:lpstr>
      <vt:lpstr>'40-41.各項費用彙計表(7級) '!Print_Area</vt:lpstr>
      <vt:lpstr>'44-45.各項費用彙計表(6級)'!Print_Area</vt:lpstr>
      <vt:lpstr>'10.圖1'!Print_Titles</vt:lpstr>
      <vt:lpstr>'21-22.勞務成本明細7級'!Print_Titles</vt:lpstr>
      <vt:lpstr>'23.其他業務成本明細7級(X)'!Print_Titles</vt:lpstr>
      <vt:lpstr>'23-24.勞務成本明細6級'!Print_Titles</vt:lpstr>
      <vt:lpstr>'24.其他業務外費用明細7級(X) '!Print_Titles</vt:lpstr>
      <vt:lpstr>'27.其他業務成本明細 (6級)'!Print_Titles</vt:lpstr>
      <vt:lpstr>'29.其他業務外費用明細6級'!Print_Titles</vt:lpstr>
      <vt:lpstr>'34-35.預計平衡表 (2)'!Print_Titles</vt:lpstr>
      <vt:lpstr>'36.預計平衡表 (4級)'!Print_Titles</vt:lpstr>
      <vt:lpstr>'36.營運項目分析表 (2)'!Print_Titles</vt:lpstr>
      <vt:lpstr>'39.預計平衡表'!Print_Titles</vt:lpstr>
      <vt:lpstr>'40.營運項目分析表'!Print_Titles</vt:lpstr>
      <vt:lpstr>'40-41.各項費用彙計表(7級) '!Print_Titles</vt:lpstr>
      <vt:lpstr>'44-45.各項費用彙計表(6級)'!Print_Titles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000618</cp:lastModifiedBy>
  <cp:lastPrinted>2018-01-04T05:27:47Z</cp:lastPrinted>
  <dcterms:created xsi:type="dcterms:W3CDTF">2004-05-02T11:25:37Z</dcterms:created>
  <dcterms:modified xsi:type="dcterms:W3CDTF">2018-01-31T07:50:08Z</dcterms:modified>
</cp:coreProperties>
</file>