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3.xml" ContentType="application/vnd.openxmlformats-officedocument.spreadsheetml.comments+xml"/>
  <Default Extension="gif" ContentType="image/gif"/>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charts/chart13.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5" yWindow="90" windowWidth="8805" windowHeight="4425" tabRatio="920" activeTab="9"/>
  </bookViews>
  <sheets>
    <sheet name="目次-" sheetId="88" r:id="rId1"/>
    <sheet name="隔頁-(業務計畫及預算說明)" sheetId="5" r:id="rId2"/>
    <sheet name="10.圖1" sheetId="12" r:id="rId3"/>
    <sheet name="11.圖2" sheetId="13" r:id="rId4"/>
    <sheet name="12.圖3" sheetId="55" r:id="rId5"/>
    <sheet name="13.圖4" sheetId="14" r:id="rId6"/>
    <sheet name="14.圖5" sheetId="1" r:id="rId7"/>
    <sheet name="隔頁 (主要表)" sheetId="16" r:id="rId8"/>
    <sheet name="15.收支預計表" sheetId="17" r:id="rId9"/>
    <sheet name="16.收支預計表說明 " sheetId="18" r:id="rId10"/>
    <sheet name="17.撥補表" sheetId="19" r:id="rId11"/>
    <sheet name="18.現金流量表 " sheetId="20" r:id="rId12"/>
    <sheet name="隔頁 ('明細表)" sheetId="21" r:id="rId13"/>
    <sheet name="19.勞務收入明細" sheetId="22" r:id="rId14"/>
    <sheet name="20.其他業務收入" sheetId="84" r:id="rId15"/>
    <sheet name="21.財務收入明細 利息" sheetId="24" r:id="rId16"/>
    <sheet name="22.其他業務外收入明細" sheetId="83" r:id="rId17"/>
    <sheet name="23.勞務成本明細6級" sheetId="26" r:id="rId18"/>
    <sheet name="21-22.勞務成本明細7級" sheetId="86" r:id="rId19"/>
    <sheet name="26.其他業務成本明細 (6級)" sheetId="29" state="hidden" r:id="rId20"/>
    <sheet name="23.其他業務成本明細7級(X)" sheetId="53" state="hidden" r:id="rId21"/>
    <sheet name="28.其他業務外費用明細6級" sheetId="32" r:id="rId22"/>
    <sheet name="24.其他業務外費用明細7級(X) " sheetId="33" state="hidden" r:id="rId23"/>
    <sheet name="30.固定資產建改擴明細表" sheetId="35" r:id="rId24"/>
    <sheet name="31.固定資產資金來源明細表" sheetId="36" r:id="rId25"/>
    <sheet name="32-33.固定資產計畫進度明細表" sheetId="37" r:id="rId26"/>
    <sheet name="34.資產折舊明細表" sheetId="38" r:id="rId27"/>
    <sheet name="30.資產折舊明細表 (2)" sheetId="59" state="hidden" r:id="rId28"/>
    <sheet name="35.基金數額增減明細表" sheetId="39" r:id="rId29"/>
    <sheet name="31.基金數額增減明細表 (2)" sheetId="60" state="hidden" r:id="rId30"/>
    <sheet name="36.隔頁 (空白30)" sheetId="72" r:id="rId31"/>
    <sheet name="32.隔頁 (空白32)" sheetId="8" state="hidden" r:id="rId32"/>
    <sheet name="隔頁 (參考表)" sheetId="40" r:id="rId33"/>
    <sheet name="33.隔頁 (空白33)" sheetId="64" state="hidden" r:id="rId34"/>
    <sheet name="34-35.預計平衡表 (2)" sheetId="62" state="hidden" r:id="rId35"/>
    <sheet name="37.預計平衡表" sheetId="66" r:id="rId36"/>
    <sheet name="36.預計平衡表 (4級)" sheetId="87" state="hidden" r:id="rId37"/>
    <sheet name="38.營運項目分析表" sheetId="46" r:id="rId38"/>
    <sheet name="36.營運項目分析表 (2)" sheetId="63" state="hidden" r:id="rId39"/>
    <sheet name="39.員工人數彙計表(1)" sheetId="76" r:id="rId40"/>
    <sheet name="37.員工人數彙計表(2)" sheetId="80" state="hidden" r:id="rId41"/>
    <sheet name="38-39.用人費用彙計表" sheetId="77" r:id="rId42"/>
    <sheet name="38-39.用人費用彙計表(2)" sheetId="81" state="hidden" r:id="rId43"/>
    <sheet name="42.各項費用彙計表(6級)" sheetId="67" r:id="rId44"/>
    <sheet name="40-41.各項費用彙計表(7級) " sheetId="47" r:id="rId45"/>
    <sheet name="43.隔頁 (空白43)" sheetId="74" state="hidden" r:id="rId46"/>
    <sheet name="附錄" sheetId="11" r:id="rId47"/>
    <sheet name="44.隔頁 (空白))" sheetId="89" r:id="rId48"/>
    <sheet name="100設備分年性項目明細表(X)" sheetId="68" state="hidden" r:id="rId49"/>
    <sheet name=".100設備分年性項目明細表(X)" sheetId="49" state="hidden" r:id="rId50"/>
    <sheet name="封底 " sheetId="50" state="hidden" r:id="rId51"/>
    <sheet name="明細表" sheetId="52" state="hidden" r:id="rId52"/>
    <sheet name="Sheet1" sheetId="82" state="hidden" r:id="rId53"/>
  </sheets>
  <externalReferences>
    <externalReference r:id="rId54"/>
    <externalReference r:id="rId55"/>
    <externalReference r:id="rId56"/>
    <externalReference r:id="rId57"/>
    <externalReference r:id="rId58"/>
  </externalReferences>
  <definedNames>
    <definedName name="\0" localSheetId="14">#REF!</definedName>
    <definedName name="\0" localSheetId="18">#REF!</definedName>
    <definedName name="\0" localSheetId="16">#REF!</definedName>
    <definedName name="\0" localSheetId="36">#REF!</definedName>
    <definedName name="\0" localSheetId="47">#REF!</definedName>
    <definedName name="\0">#REF!</definedName>
    <definedName name="\a" localSheetId="14">#REF!</definedName>
    <definedName name="\a" localSheetId="16">#REF!</definedName>
    <definedName name="\a" localSheetId="36">#REF!</definedName>
    <definedName name="\a" localSheetId="47">#REF!</definedName>
    <definedName name="\a">#REF!</definedName>
    <definedName name="\p" localSheetId="14">#REF!</definedName>
    <definedName name="\p" localSheetId="16">#REF!</definedName>
    <definedName name="\p" localSheetId="36">#REF!</definedName>
    <definedName name="\p" localSheetId="47">#REF!</definedName>
    <definedName name="\p">#REF!</definedName>
    <definedName name="__123Graph_D" localSheetId="14" hidden="1">[1]勞務成本!#REF!</definedName>
    <definedName name="__123Graph_D" localSheetId="18" hidden="1">[1]勞務成本!#REF!</definedName>
    <definedName name="__123Graph_D" localSheetId="16" hidden="1">[1]勞務成本!#REF!</definedName>
    <definedName name="__123Graph_D" localSheetId="36" hidden="1">[1]勞務成本!#REF!</definedName>
    <definedName name="__123Graph_D" localSheetId="47" hidden="1">[1]勞務成本!#REF!</definedName>
    <definedName name="__123Graph_D" localSheetId="0" hidden="1">[1]勞務成本!#REF!</definedName>
    <definedName name="__123Graph_D" hidden="1">[1]勞務成本!#REF!</definedName>
    <definedName name="_xlnm._FilterDatabase" localSheetId="18" hidden="1">'21-22.勞務成本明細7級'!$A$7:$V$94</definedName>
    <definedName name="_xlnm._FilterDatabase" localSheetId="44" hidden="1">'40-41.各項費用彙計表(7級) '!$A$7:$K$98</definedName>
    <definedName name="_PPRA15.U49_AG" localSheetId="14">#REF!</definedName>
    <definedName name="_PPRA15.U49_AG" localSheetId="18">#REF!</definedName>
    <definedName name="_PPRA15.U49_AG" localSheetId="16">#REF!</definedName>
    <definedName name="_PPRA15.U49_AG" localSheetId="36">#REF!</definedName>
    <definedName name="_PPRA15.U49_AG" localSheetId="47">#REF!</definedName>
    <definedName name="_PPRA15.U49_AG">#REF!</definedName>
    <definedName name="A_G_A1">#N/A</definedName>
    <definedName name="AA">#N/A</definedName>
    <definedName name="aaa" localSheetId="14">[2]間接費用!#REF!</definedName>
    <definedName name="aaa" localSheetId="18">[2]間接費用!#REF!</definedName>
    <definedName name="aaa" localSheetId="16">[2]間接費用!#REF!</definedName>
    <definedName name="aaa" localSheetId="36">[2]間接費用!#REF!</definedName>
    <definedName name="aaa" localSheetId="47">[2]間接費用!#REF!</definedName>
    <definedName name="aaa" localSheetId="0">[2]間接費用!#REF!</definedName>
    <definedName name="aaa">[2]間接費用!#REF!</definedName>
    <definedName name="bbb" localSheetId="14">[2]間接費用!#REF!</definedName>
    <definedName name="bbb" localSheetId="18">[2]間接費用!#REF!</definedName>
    <definedName name="bbb" localSheetId="16">[2]間接費用!#REF!</definedName>
    <definedName name="bbb" localSheetId="36">[2]間接費用!#REF!</definedName>
    <definedName name="bbb" localSheetId="47">[2]間接費用!#REF!</definedName>
    <definedName name="bbb" localSheetId="0">[2]間接費用!#REF!</definedName>
    <definedName name="bbb">[2]間接費用!#REF!</definedName>
    <definedName name="MANAGE">#N/A</definedName>
    <definedName name="OLE_LINK1" localSheetId="29">'31.基金數額增減明細表 (2)'!#REF!</definedName>
    <definedName name="OLE_LINK1" localSheetId="28">'35.基金數額增減明細表'!#REF!</definedName>
    <definedName name="OLE_LINK2" localSheetId="29">'31.基金數額增減明細表 (2)'!#REF!</definedName>
    <definedName name="OLE_LINK2" localSheetId="28">'35.基金數額增減明細表'!#REF!</definedName>
    <definedName name="_xlnm.Print_Area" localSheetId="2">'10.圖1'!$B$1:$E$41</definedName>
    <definedName name="_xlnm.Print_Area" localSheetId="3">'11.圖2'!$B$1:$E$45</definedName>
    <definedName name="_xlnm.Print_Area" localSheetId="4">'12.圖3'!$A$1:$F$45</definedName>
    <definedName name="_xlnm.Print_Area" localSheetId="5">'13.圖4'!$B$1:$E$40</definedName>
    <definedName name="_xlnm.Print_Area" localSheetId="6">'14.圖5'!$A$1:$F$43</definedName>
    <definedName name="_xlnm.Print_Area" localSheetId="8">'15.收支預計表'!$A$1:$I$36</definedName>
    <definedName name="_xlnm.Print_Area" localSheetId="10">'17.撥補表'!$A$1:$G$37</definedName>
    <definedName name="_xlnm.Print_Area" localSheetId="11">'18.現金流量表 '!$A$1:$C$38</definedName>
    <definedName name="_xlnm.Print_Area" localSheetId="13">'19.勞務收入明細'!$A$1:$G$29</definedName>
    <definedName name="_xlnm.Print_Area" localSheetId="14">'20.其他業務收入'!$A$1:$D$27</definedName>
    <definedName name="_xlnm.Print_Area" localSheetId="15">'21.財務收入明細 利息'!$A$1:$D$29</definedName>
    <definedName name="_xlnm.Print_Area" localSheetId="18">'21-22.勞務成本明細7級'!$C$1:$G$94</definedName>
    <definedName name="_xlnm.Print_Area" localSheetId="16">'22.其他業務外收入明細'!$A$1:$D$28</definedName>
    <definedName name="_xlnm.Print_Area" localSheetId="20">'23.其他業務成本明細7級(X)'!$A$1:$E$75</definedName>
    <definedName name="_xlnm.Print_Area" localSheetId="22">'24.其他業務外費用明細7級(X) '!$A$1:$E$69</definedName>
    <definedName name="_xlnm.Print_Area" localSheetId="19">'26.其他業務成本明細 (6級)'!$A$1:$E$33</definedName>
    <definedName name="_xlnm.Print_Area" localSheetId="21">'28.其他業務外費用明細6級'!$A$1:$E$40</definedName>
    <definedName name="_xlnm.Print_Area" localSheetId="25">'32-33.固定資產計畫進度明細表'!$A$1:$Q$29</definedName>
    <definedName name="_xlnm.Print_Area" localSheetId="34">'34-35.預計平衡表 (2)'!$A$1:$J$37</definedName>
    <definedName name="_xlnm.Print_Area" localSheetId="36">'36.預計平衡表 (4級)'!$A$1:$E$72</definedName>
    <definedName name="_xlnm.Print_Area" localSheetId="35">'37.預計平衡表'!$A$1:$E$62</definedName>
    <definedName name="_xlnm.Print_Area" localSheetId="39">'39.員工人數彙計表(1)'!$A$1:$E$35</definedName>
    <definedName name="_xlnm.Print_Area" localSheetId="44">'40-41.各項費用彙計表(7級) '!$B$1:$I$98</definedName>
    <definedName name="_xlnm.Print_Area" localSheetId="43">'42.各項費用彙計表(6級)'!$A$1:$H$44</definedName>
    <definedName name="_xlnm.Print_Area" localSheetId="0">#REF!</definedName>
    <definedName name="_xlnm.Print_Area">#REF!</definedName>
    <definedName name="PRINT_AREA_MI" localSheetId="14">#REF!</definedName>
    <definedName name="PRINT_AREA_MI" localSheetId="16">#REF!</definedName>
    <definedName name="PRINT_AREA_MI" localSheetId="36">#REF!</definedName>
    <definedName name="PRINT_AREA_MI" localSheetId="47">#REF!</definedName>
    <definedName name="PRINT_AREA_MI">#REF!</definedName>
    <definedName name="_xlnm.Print_Titles" localSheetId="2">'10.圖1'!$4:$7</definedName>
    <definedName name="_xlnm.Print_Titles" localSheetId="18">'21-22.勞務成本明細7級'!$1:$7</definedName>
    <definedName name="_xlnm.Print_Titles" localSheetId="20">'23.其他業務成本明細7級(X)'!$1:$7</definedName>
    <definedName name="_xlnm.Print_Titles" localSheetId="17">'23.勞務成本明細6級'!$1:$7</definedName>
    <definedName name="_xlnm.Print_Titles" localSheetId="22">'24.其他業務外費用明細7級(X) '!$1:$7</definedName>
    <definedName name="_xlnm.Print_Titles" localSheetId="19">'26.其他業務成本明細 (6級)'!$1:$7</definedName>
    <definedName name="_xlnm.Print_Titles" localSheetId="21">'28.其他業務外費用明細6級'!$1:$7</definedName>
    <definedName name="_xlnm.Print_Titles" localSheetId="34">'34-35.預計平衡表 (2)'!$1:$6</definedName>
    <definedName name="_xlnm.Print_Titles" localSheetId="36">'36.預計平衡表 (4級)'!$1:$6</definedName>
    <definedName name="_xlnm.Print_Titles" localSheetId="38">'36.營運項目分析表 (2)'!$1:$6</definedName>
    <definedName name="_xlnm.Print_Titles" localSheetId="35">'37.預計平衡表'!$1:$6</definedName>
    <definedName name="_xlnm.Print_Titles" localSheetId="37">'38.營運項目分析表'!$1:$6</definedName>
    <definedName name="_xlnm.Print_Titles" localSheetId="44">'40-41.各項費用彙計表(7級) '!$1:$7</definedName>
    <definedName name="_xlnm.Print_Titles" localSheetId="43">'42.各項費用彙計表(6級)'!$1:$7</definedName>
    <definedName name="qwe" localSheetId="14">#REF!</definedName>
    <definedName name="qwe" localSheetId="18">#REF!</definedName>
    <definedName name="qwe" localSheetId="16">#REF!</definedName>
    <definedName name="qwe" localSheetId="36">#REF!</definedName>
    <definedName name="qwe" localSheetId="47">#REF!</definedName>
    <definedName name="qwe">#REF!</definedName>
    <definedName name="RA119.U152_AG" localSheetId="14">#REF!</definedName>
    <definedName name="RA119.U152_AG" localSheetId="16">#REF!</definedName>
    <definedName name="RA119.U152_AG" localSheetId="36">#REF!</definedName>
    <definedName name="RA119.U152_AG" localSheetId="47">#REF!</definedName>
    <definedName name="RA119.U152_AG">#REF!</definedName>
    <definedName name="RA153.U186_AG" localSheetId="14">#REF!</definedName>
    <definedName name="RA153.U186_AG" localSheetId="16">#REF!</definedName>
    <definedName name="RA153.U186_AG" localSheetId="36">#REF!</definedName>
    <definedName name="RA153.U186_AG" localSheetId="47">#REF!</definedName>
    <definedName name="RA153.U186_AG">#REF!</definedName>
    <definedName name="RA50.U84_AG" localSheetId="14">#REF!</definedName>
    <definedName name="RA50.U84_AG" localSheetId="16">#REF!</definedName>
    <definedName name="RA50.U84_AG" localSheetId="36">#REF!</definedName>
    <definedName name="RA50.U84_AG" localSheetId="47">#REF!</definedName>
    <definedName name="RA50.U84_AG">#REF!</definedName>
    <definedName name="RA85.U118_AG" localSheetId="14">#REF!</definedName>
    <definedName name="RA85.U118_AG" localSheetId="16">#REF!</definedName>
    <definedName name="RA85.U118_AG" localSheetId="36">#REF!</definedName>
    <definedName name="RA85.U118_AG" localSheetId="47">#REF!</definedName>
    <definedName name="RA85.U118_AG">#REF!</definedName>
    <definedName name="zxc" localSheetId="14">#REF!</definedName>
    <definedName name="zxc" localSheetId="16">#REF!</definedName>
    <definedName name="zxc" localSheetId="36">#REF!</definedName>
    <definedName name="zxc" localSheetId="47">#REF!</definedName>
    <definedName name="zxc">#REF!</definedName>
    <definedName name="人供">#N/A</definedName>
    <definedName name="平衡表.可支庫款" localSheetId="14">#REF!</definedName>
    <definedName name="平衡表.可支庫款" localSheetId="18">#REF!</definedName>
    <definedName name="平衡表.可支庫款" localSheetId="16">#REF!</definedName>
    <definedName name="平衡表.可支庫款" localSheetId="36">#REF!</definedName>
    <definedName name="平衡表.可支庫款" localSheetId="47">#REF!</definedName>
    <definedName name="平衡表.可支庫款">#REF!</definedName>
    <definedName name="平衡表.所屬機關可支庫款" localSheetId="14">#REF!</definedName>
    <definedName name="平衡表.所屬機關可支庫款" localSheetId="16">#REF!</definedName>
    <definedName name="平衡表.所屬機關可支庫款" localSheetId="36">#REF!</definedName>
    <definedName name="平衡表.所屬機關可支庫款" localSheetId="47">#REF!</definedName>
    <definedName name="平衡表.所屬機關可支庫款">#REF!</definedName>
    <definedName name="平衡表.負擔負債科目合計" localSheetId="14">#REF!</definedName>
    <definedName name="平衡表.負擔負債科目合計" localSheetId="16">#REF!</definedName>
    <definedName name="平衡表.負擔負債科目合計" localSheetId="36">#REF!</definedName>
    <definedName name="平衡表.負擔負債科目合計" localSheetId="47">#REF!</definedName>
    <definedName name="平衡表.負擔負債科目合計">#REF!</definedName>
    <definedName name="平衡表.歲出分配數" localSheetId="14">#REF!</definedName>
    <definedName name="平衡表.歲出分配數" localSheetId="16">#REF!</definedName>
    <definedName name="平衡表.歲出分配數" localSheetId="36">#REF!</definedName>
    <definedName name="平衡表.歲出分配數" localSheetId="47">#REF!</definedName>
    <definedName name="平衡表.歲出分配數">#REF!</definedName>
    <definedName name="平衡表.歲出預算數" localSheetId="14">#REF!</definedName>
    <definedName name="平衡表.歲出預算數" localSheetId="16">#REF!</definedName>
    <definedName name="平衡表.歲出預算數" localSheetId="36">#REF!</definedName>
    <definedName name="平衡表.歲出預算數" localSheetId="47">#REF!</definedName>
    <definedName name="平衡表.歲出預算數">#REF!</definedName>
    <definedName name="平衡表.經費支出" localSheetId="14">#REF!</definedName>
    <definedName name="平衡表.經費支出" localSheetId="16">#REF!</definedName>
    <definedName name="平衡表.經費支出" localSheetId="36">#REF!</definedName>
    <definedName name="平衡表.經費支出" localSheetId="47">#REF!</definedName>
    <definedName name="平衡表.經費支出">#REF!</definedName>
    <definedName name="平衡表.資力資產科目合計" localSheetId="14">#REF!</definedName>
    <definedName name="平衡表.資力資產科目合計" localSheetId="16">#REF!</definedName>
    <definedName name="平衡表.資力資產科目合計" localSheetId="36">#REF!</definedName>
    <definedName name="平衡表.資力資產科目合計" localSheetId="47">#REF!</definedName>
    <definedName name="平衡表.資力資產科目合計">#REF!</definedName>
    <definedName name="平衡表.預計支用數" localSheetId="14">#REF!</definedName>
    <definedName name="平衡表.預計支用數" localSheetId="16">#REF!</definedName>
    <definedName name="平衡表.預計支用數" localSheetId="36">#REF!</definedName>
    <definedName name="平衡表.預計支用數" localSheetId="47">#REF!</definedName>
    <definedName name="平衡表.預計支用數">#REF!</definedName>
    <definedName name="累計表.本月止分配數合計" localSheetId="14">[3]經費累計表!#REF!</definedName>
    <definedName name="累計表.本月止分配數合計" localSheetId="16">[3]經費累計表!#REF!</definedName>
    <definedName name="累計表.本月止分配數合計" localSheetId="36">[3]經費累計表!#REF!</definedName>
    <definedName name="累計表.本月止分配數合計" localSheetId="47">[3]經費累計表!#REF!</definedName>
    <definedName name="累計表.本月止分配數合計">[3]經費累計表!#REF!</definedName>
    <definedName name="累計表.本月止實付累計數合計" localSheetId="14">[3]經費累計表!#REF!</definedName>
    <definedName name="累計表.本月止實付累計數合計" localSheetId="16">[3]經費累計表!#REF!</definedName>
    <definedName name="累計表.本月止實付累計數合計" localSheetId="36">[3]經費累計表!#REF!</definedName>
    <definedName name="累計表.本月止實付累計數合計" localSheetId="47">[3]經費累計表!#REF!</definedName>
    <definedName name="累計表.本月止實付累計數合計">[3]經費累計表!#REF!</definedName>
    <definedName name="累計表.全年度預算數合計" localSheetId="14">[3]經費累計表!#REF!</definedName>
    <definedName name="累計表.全年度預算數合計" localSheetId="16">[3]經費累計表!#REF!</definedName>
    <definedName name="累計表.全年度預算數合計" localSheetId="36">[3]經費累計表!#REF!</definedName>
    <definedName name="累計表.全年度預算數合計" localSheetId="47">[3]經費累計表!#REF!</definedName>
    <definedName name="累計表.全年度預算數合計">[3]經費累計表!#REF!</definedName>
    <definedName name="勞務成本1" localSheetId="14">#REF!</definedName>
    <definedName name="勞務成本1" localSheetId="18">#REF!</definedName>
    <definedName name="勞務成本1" localSheetId="16">#REF!</definedName>
    <definedName name="勞務成本1" localSheetId="36">#REF!</definedName>
    <definedName name="勞務成本1" localSheetId="47">#REF!</definedName>
    <definedName name="勞務成本1">#REF!</definedName>
    <definedName name="經費類" localSheetId="14">#REF!</definedName>
    <definedName name="經費類" localSheetId="16">#REF!</definedName>
    <definedName name="經費類" localSheetId="36">#REF!</definedName>
    <definedName name="經費類" localSheetId="47">#REF!</definedName>
    <definedName name="經費類">#REF!</definedName>
    <definedName name="資產表" localSheetId="14">#REF!</definedName>
    <definedName name="資產表" localSheetId="16">#REF!</definedName>
    <definedName name="資產表" localSheetId="36">#REF!</definedName>
    <definedName name="資產表" localSheetId="47">#REF!</definedName>
    <definedName name="資產表">#REF!</definedName>
    <definedName name="管總費用" localSheetId="14">#REF!</definedName>
    <definedName name="管總費用" localSheetId="16">#REF!</definedName>
    <definedName name="管總費用" localSheetId="36">#REF!</definedName>
    <definedName name="管總費用" localSheetId="47">#REF!</definedName>
    <definedName name="管總費用">#REF!</definedName>
  </definedNames>
  <calcPr calcId="125725"/>
</workbook>
</file>

<file path=xl/calcChain.xml><?xml version="1.0" encoding="utf-8"?>
<calcChain xmlns="http://schemas.openxmlformats.org/spreadsheetml/2006/main">
  <c r="C44" i="55"/>
  <c r="B44"/>
  <c r="C40" i="13"/>
  <c r="E42"/>
  <c r="L32" i="26"/>
  <c r="D8"/>
  <c r="C8" i="46"/>
  <c r="F10" i="38"/>
  <c r="D10"/>
  <c r="B25" i="20"/>
  <c r="C20" i="66" l="1"/>
  <c r="C61" l="1"/>
  <c r="D16" i="17"/>
  <c r="G56" i="86"/>
  <c r="G23"/>
  <c r="D22" i="17"/>
  <c r="A8" i="47"/>
  <c r="A61"/>
  <c r="A73"/>
  <c r="A87"/>
  <c r="A84"/>
  <c r="A82"/>
  <c r="A78"/>
  <c r="A96"/>
  <c r="A95"/>
  <c r="A74"/>
  <c r="A71"/>
  <c r="A69"/>
  <c r="A66"/>
  <c r="A64"/>
  <c r="A54"/>
  <c r="A51"/>
  <c r="A50" s="1"/>
  <c r="A48"/>
  <c r="A38"/>
  <c r="A33"/>
  <c r="A30"/>
  <c r="A25"/>
  <c r="A21"/>
  <c r="A17"/>
  <c r="A13"/>
  <c r="A9"/>
  <c r="A81" l="1"/>
  <c r="A98" s="1"/>
  <c r="G11" i="86" l="1"/>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6"/>
  <c r="J77"/>
  <c r="J78"/>
  <c r="J79"/>
  <c r="J80"/>
  <c r="J81"/>
  <c r="J82"/>
  <c r="J83"/>
  <c r="J84"/>
  <c r="J85"/>
  <c r="J86"/>
  <c r="J87"/>
  <c r="J88"/>
  <c r="J89"/>
  <c r="J90"/>
  <c r="J91"/>
  <c r="J92"/>
  <c r="J93"/>
  <c r="J94"/>
  <c r="J8"/>
  <c r="I11" l="1"/>
  <c r="I12"/>
  <c r="I13"/>
  <c r="I15"/>
  <c r="I16"/>
  <c r="I17"/>
  <c r="I19"/>
  <c r="I20"/>
  <c r="I21"/>
  <c r="I23"/>
  <c r="I24"/>
  <c r="I25"/>
  <c r="I27"/>
  <c r="I28"/>
  <c r="I29"/>
  <c r="I30"/>
  <c r="I32"/>
  <c r="I33"/>
  <c r="I35"/>
  <c r="I36"/>
  <c r="I37"/>
  <c r="I38"/>
  <c r="I40"/>
  <c r="I41"/>
  <c r="I42"/>
  <c r="I43"/>
  <c r="I44"/>
  <c r="I45"/>
  <c r="I46"/>
  <c r="I47"/>
  <c r="I48"/>
  <c r="I50"/>
  <c r="I53"/>
  <c r="I54"/>
  <c r="I56"/>
  <c r="I57"/>
  <c r="I58"/>
  <c r="I59"/>
  <c r="I60"/>
  <c r="I61"/>
  <c r="I64"/>
  <c r="I66"/>
  <c r="I68"/>
  <c r="I69"/>
  <c r="I71"/>
  <c r="I73"/>
  <c r="I76"/>
  <c r="I77"/>
  <c r="I78"/>
  <c r="I80"/>
  <c r="I81"/>
  <c r="I84"/>
  <c r="I86"/>
  <c r="I87"/>
  <c r="I89"/>
  <c r="I92"/>
  <c r="I93"/>
  <c r="H11"/>
  <c r="H12"/>
  <c r="H13"/>
  <c r="H15"/>
  <c r="H16"/>
  <c r="H17"/>
  <c r="H19"/>
  <c r="H20"/>
  <c r="H21"/>
  <c r="H23"/>
  <c r="H24"/>
  <c r="H25"/>
  <c r="H27"/>
  <c r="H28"/>
  <c r="H29"/>
  <c r="H30"/>
  <c r="H32"/>
  <c r="H33"/>
  <c r="H35"/>
  <c r="H36"/>
  <c r="H37"/>
  <c r="H38"/>
  <c r="H40"/>
  <c r="H41"/>
  <c r="H42"/>
  <c r="H43"/>
  <c r="H44"/>
  <c r="H45"/>
  <c r="H46"/>
  <c r="H47"/>
  <c r="H48"/>
  <c r="H50"/>
  <c r="H53"/>
  <c r="H54"/>
  <c r="H56"/>
  <c r="H57"/>
  <c r="H58"/>
  <c r="H59"/>
  <c r="H60"/>
  <c r="H61"/>
  <c r="H64"/>
  <c r="H66"/>
  <c r="H68"/>
  <c r="H69"/>
  <c r="H71"/>
  <c r="H73"/>
  <c r="H76"/>
  <c r="H77"/>
  <c r="H78"/>
  <c r="H80"/>
  <c r="H81"/>
  <c r="H84"/>
  <c r="H86"/>
  <c r="H87"/>
  <c r="H89"/>
  <c r="H92"/>
  <c r="H93"/>
  <c r="B75" l="1"/>
  <c r="J75" s="1"/>
  <c r="G46" l="1"/>
  <c r="G40"/>
  <c r="E9" i="38" l="1"/>
  <c r="C42" i="66"/>
  <c r="D42"/>
  <c r="D48"/>
  <c r="C11" l="1"/>
  <c r="A49" l="1"/>
  <c r="A39"/>
  <c r="A29"/>
  <c r="A18"/>
  <c r="A13"/>
  <c r="A32" i="17"/>
  <c r="A31"/>
  <c r="A8"/>
  <c r="A19"/>
  <c r="A20"/>
  <c r="A11"/>
  <c r="F22"/>
  <c r="F16"/>
  <c r="B74" i="47" l="1"/>
  <c r="B33"/>
  <c r="B13"/>
  <c r="B9"/>
  <c r="B34"/>
  <c r="B14"/>
  <c r="C34" i="86"/>
  <c r="C22"/>
  <c r="C10"/>
  <c r="C75"/>
  <c r="G40" i="47"/>
  <c r="G41"/>
  <c r="G57"/>
  <c r="E57" s="1"/>
  <c r="J57" s="1"/>
  <c r="E27" i="66"/>
  <c r="E21"/>
  <c r="I10" i="86" l="1"/>
  <c r="H10"/>
  <c r="I22"/>
  <c r="H22"/>
  <c r="H75"/>
  <c r="I75"/>
  <c r="I34"/>
  <c r="H34"/>
  <c r="A25" i="66"/>
  <c r="D23"/>
  <c r="A22"/>
  <c r="E25" i="32" l="1"/>
  <c r="B25"/>
  <c r="B9" s="1"/>
  <c r="B8" s="1"/>
  <c r="A9" i="53"/>
  <c r="E22"/>
  <c r="E41"/>
  <c r="E31"/>
  <c r="E24"/>
  <c r="E15"/>
  <c r="E12"/>
  <c r="E11"/>
  <c r="I31" i="26" l="1"/>
  <c r="F31"/>
  <c r="L31"/>
  <c r="C8" i="84"/>
  <c r="F11" i="17"/>
  <c r="D11"/>
  <c r="C41" i="13" s="1"/>
  <c r="H12" i="17"/>
  <c r="I12" s="1"/>
  <c r="D60" i="66" l="1"/>
  <c r="D49"/>
  <c r="D44"/>
  <c r="C44"/>
  <c r="C33"/>
  <c r="C13" l="1"/>
  <c r="C16"/>
  <c r="D16"/>
  <c r="D13"/>
  <c r="A60" l="1"/>
  <c r="D47"/>
  <c r="D46" s="1"/>
  <c r="C47"/>
  <c r="A47"/>
  <c r="A44"/>
  <c r="A16"/>
  <c r="A9"/>
  <c r="D11"/>
  <c r="B78" i="47"/>
  <c r="B73" s="1"/>
  <c r="B54"/>
  <c r="B21"/>
  <c r="G15"/>
  <c r="G16"/>
  <c r="G14"/>
  <c r="G81" i="86"/>
  <c r="G77" i="47"/>
  <c r="G76"/>
  <c r="G75"/>
  <c r="L29" i="26"/>
  <c r="C79" i="86"/>
  <c r="C55"/>
  <c r="C14"/>
  <c r="L11" i="26"/>
  <c r="L17"/>
  <c r="D79" i="86"/>
  <c r="I30" i="26" s="1"/>
  <c r="L22" l="1"/>
  <c r="H55" i="86"/>
  <c r="I55"/>
  <c r="I14"/>
  <c r="H14"/>
  <c r="L30" i="26"/>
  <c r="I79" i="86"/>
  <c r="H79"/>
  <c r="A8" i="66"/>
  <c r="L12" i="26"/>
  <c r="A46" i="66"/>
  <c r="E47"/>
  <c r="E48"/>
  <c r="C78" i="47"/>
  <c r="C38" i="12" l="1"/>
  <c r="E38" s="1"/>
  <c r="E41" s="1"/>
  <c r="F8" i="38" l="1"/>
  <c r="E8"/>
  <c r="D8"/>
  <c r="E8" i="33"/>
  <c r="B40"/>
  <c r="B37"/>
  <c r="A21" i="53"/>
  <c r="C39" i="86" l="1"/>
  <c r="C18"/>
  <c r="D75"/>
  <c r="I29" i="26" s="1"/>
  <c r="L18" l="1"/>
  <c r="I39" i="86"/>
  <c r="H39"/>
  <c r="I18"/>
  <c r="H18"/>
  <c r="L13" i="26"/>
  <c r="B22" i="20"/>
  <c r="E44" i="66" l="1"/>
  <c r="E16"/>
  <c r="E15"/>
  <c r="E14"/>
  <c r="E13"/>
  <c r="E12"/>
  <c r="E11" l="1"/>
  <c r="C28" i="67"/>
  <c r="C74" i="47"/>
  <c r="I74"/>
  <c r="H28" i="67" s="1"/>
  <c r="H74" i="47"/>
  <c r="G28" i="67" s="1"/>
  <c r="H26" i="17"/>
  <c r="H33"/>
  <c r="D29" i="66"/>
  <c r="D39" l="1"/>
  <c r="G80" i="47"/>
  <c r="E80" s="1"/>
  <c r="K80" s="1"/>
  <c r="B38"/>
  <c r="B25"/>
  <c r="B17"/>
  <c r="J30" i="17"/>
  <c r="J25"/>
  <c r="J26"/>
  <c r="J24"/>
  <c r="J22"/>
  <c r="J16"/>
  <c r="J13"/>
  <c r="J12"/>
  <c r="J10"/>
  <c r="A38" i="66"/>
  <c r="A37" s="1"/>
  <c r="G75" i="86" l="1"/>
  <c r="J80" i="47"/>
  <c r="G79" i="86"/>
  <c r="C30" i="66"/>
  <c r="C29" s="1"/>
  <c r="C27"/>
  <c r="C21"/>
  <c r="G74" i="86" l="1"/>
  <c r="E33" i="66"/>
  <c r="C24" l="1"/>
  <c r="D19"/>
  <c r="A19"/>
  <c r="E42" i="67"/>
  <c r="E35"/>
  <c r="H90" i="47" l="1"/>
  <c r="H96"/>
  <c r="D69" i="87" l="1"/>
  <c r="D68" s="1"/>
  <c r="D67" s="1"/>
  <c r="C69"/>
  <c r="C68" s="1"/>
  <c r="C67" s="1"/>
  <c r="A68"/>
  <c r="A67" s="1"/>
  <c r="D64"/>
  <c r="D63" s="1"/>
  <c r="C64"/>
  <c r="C63" s="1"/>
  <c r="A64"/>
  <c r="A63" s="1"/>
  <c r="D61"/>
  <c r="E61" s="1"/>
  <c r="E60" s="1"/>
  <c r="E59" s="1"/>
  <c r="C60"/>
  <c r="C59" s="1"/>
  <c r="A60"/>
  <c r="A59" s="1"/>
  <c r="D53"/>
  <c r="E53" s="1"/>
  <c r="D52"/>
  <c r="E52" s="1"/>
  <c r="C51"/>
  <c r="C50" s="1"/>
  <c r="A50"/>
  <c r="D48"/>
  <c r="D47" s="1"/>
  <c r="C47"/>
  <c r="A47"/>
  <c r="D46"/>
  <c r="E46" s="1"/>
  <c r="E45"/>
  <c r="D44"/>
  <c r="E44" s="1"/>
  <c r="D43"/>
  <c r="E43" s="1"/>
  <c r="D42"/>
  <c r="E42" s="1"/>
  <c r="C41"/>
  <c r="A41"/>
  <c r="A40" s="1"/>
  <c r="A39" s="1"/>
  <c r="D36"/>
  <c r="E36" s="1"/>
  <c r="E35" s="1"/>
  <c r="E34" s="1"/>
  <c r="C35"/>
  <c r="C34" s="1"/>
  <c r="A35"/>
  <c r="A34"/>
  <c r="D32"/>
  <c r="D31" s="1"/>
  <c r="D30" s="1"/>
  <c r="C32"/>
  <c r="A31"/>
  <c r="A30" s="1"/>
  <c r="E28"/>
  <c r="E27" s="1"/>
  <c r="D27"/>
  <c r="C27"/>
  <c r="A27"/>
  <c r="D26"/>
  <c r="E26" s="1"/>
  <c r="D25"/>
  <c r="E25" s="1"/>
  <c r="E24" s="1"/>
  <c r="C24"/>
  <c r="A24"/>
  <c r="C23"/>
  <c r="E23" s="1"/>
  <c r="A23"/>
  <c r="D22"/>
  <c r="D21"/>
  <c r="A21"/>
  <c r="D20"/>
  <c r="E20" s="1"/>
  <c r="A20"/>
  <c r="D19"/>
  <c r="A18"/>
  <c r="D15"/>
  <c r="E15" s="1"/>
  <c r="E14" s="1"/>
  <c r="D14"/>
  <c r="C14"/>
  <c r="A14"/>
  <c r="D13"/>
  <c r="E13" s="1"/>
  <c r="D12"/>
  <c r="E12" s="1"/>
  <c r="E11" s="1"/>
  <c r="C11"/>
  <c r="A11"/>
  <c r="D10"/>
  <c r="D9" s="1"/>
  <c r="C10"/>
  <c r="E10" s="1"/>
  <c r="E9" s="1"/>
  <c r="E8" s="1"/>
  <c r="C9"/>
  <c r="C8" s="1"/>
  <c r="A9"/>
  <c r="C40" l="1"/>
  <c r="E48"/>
  <c r="E47" s="1"/>
  <c r="C58"/>
  <c r="A58"/>
  <c r="A8"/>
  <c r="A17"/>
  <c r="E32"/>
  <c r="E31" s="1"/>
  <c r="E30" s="1"/>
  <c r="D41"/>
  <c r="D40" s="1"/>
  <c r="E41"/>
  <c r="E40" s="1"/>
  <c r="E39" s="1"/>
  <c r="E51"/>
  <c r="E50" s="1"/>
  <c r="A71"/>
  <c r="C39"/>
  <c r="C71" s="1"/>
  <c r="E58"/>
  <c r="D11"/>
  <c r="D8" s="1"/>
  <c r="D18"/>
  <c r="D24"/>
  <c r="C31"/>
  <c r="C30" s="1"/>
  <c r="D35"/>
  <c r="D34" s="1"/>
  <c r="D51"/>
  <c r="D50" s="1"/>
  <c r="D39" s="1"/>
  <c r="D60"/>
  <c r="D59" s="1"/>
  <c r="D58" s="1"/>
  <c r="E69"/>
  <c r="E68" s="1"/>
  <c r="E67" s="1"/>
  <c r="D71" l="1"/>
  <c r="A7"/>
  <c r="A37" s="1"/>
  <c r="E71"/>
  <c r="D17"/>
  <c r="D7" s="1"/>
  <c r="D37" s="1"/>
  <c r="G92" i="86" l="1"/>
  <c r="D34" i="67"/>
  <c r="D55" i="66" l="1"/>
  <c r="E55" s="1"/>
  <c r="D34"/>
  <c r="A25" i="32" l="1"/>
  <c r="A9" s="1"/>
  <c r="D8" i="22"/>
  <c r="E10" i="38"/>
  <c r="I28" i="26" l="1"/>
  <c r="C96" i="47"/>
  <c r="C62" l="1"/>
  <c r="C30"/>
  <c r="G96"/>
  <c r="I88"/>
  <c r="I84"/>
  <c r="G91" l="1"/>
  <c r="G88"/>
  <c r="G86"/>
  <c r="G85"/>
  <c r="G79"/>
  <c r="G78" s="1"/>
  <c r="G49"/>
  <c r="E41"/>
  <c r="G43"/>
  <c r="G46"/>
  <c r="G47"/>
  <c r="G31"/>
  <c r="G27"/>
  <c r="G28"/>
  <c r="G29"/>
  <c r="G23"/>
  <c r="J41" l="1"/>
  <c r="K41"/>
  <c r="F41"/>
  <c r="G74"/>
  <c r="F16" i="38"/>
  <c r="F15" i="59"/>
  <c r="E16" i="38"/>
  <c r="E15" i="59"/>
  <c r="D16" i="38"/>
  <c r="D15" i="59"/>
  <c r="G84" i="47"/>
  <c r="E88"/>
  <c r="G87"/>
  <c r="G11"/>
  <c r="G12"/>
  <c r="G10"/>
  <c r="D91" i="86"/>
  <c r="D90" s="1"/>
  <c r="C91"/>
  <c r="C88"/>
  <c r="D85"/>
  <c r="C85"/>
  <c r="D83"/>
  <c r="C83"/>
  <c r="D74"/>
  <c r="C74"/>
  <c r="D72"/>
  <c r="I27" i="26" s="1"/>
  <c r="C72" i="86"/>
  <c r="D70"/>
  <c r="I26" i="26" s="1"/>
  <c r="C70" i="86"/>
  <c r="D67"/>
  <c r="I25" i="26" s="1"/>
  <c r="C67" i="86"/>
  <c r="D65"/>
  <c r="C65"/>
  <c r="D63"/>
  <c r="C63"/>
  <c r="D55"/>
  <c r="I22" i="26" s="1"/>
  <c r="D52" i="86"/>
  <c r="I21" i="26" s="1"/>
  <c r="C52" i="86"/>
  <c r="D50"/>
  <c r="D49" s="1"/>
  <c r="I19" i="26" s="1"/>
  <c r="C49" i="86"/>
  <c r="D39"/>
  <c r="I18" i="26" s="1"/>
  <c r="D34" i="86"/>
  <c r="I17" i="26" s="1"/>
  <c r="D31" i="86"/>
  <c r="I16" i="26" s="1"/>
  <c r="C31" i="86"/>
  <c r="D26"/>
  <c r="I15" i="26" s="1"/>
  <c r="C26" i="86"/>
  <c r="D22"/>
  <c r="I14" i="26" s="1"/>
  <c r="D18" i="86"/>
  <c r="I13" i="26" s="1"/>
  <c r="D14" i="86"/>
  <c r="I12" i="26" s="1"/>
  <c r="D10" i="86"/>
  <c r="I11" i="26" s="1"/>
  <c r="G91" i="86"/>
  <c r="G90" s="1"/>
  <c r="G85"/>
  <c r="G83"/>
  <c r="G63"/>
  <c r="G49"/>
  <c r="G10"/>
  <c r="L16" i="26" l="1"/>
  <c r="I31" i="86"/>
  <c r="H31"/>
  <c r="L24" i="26"/>
  <c r="H65" i="86"/>
  <c r="I65"/>
  <c r="L26" i="26"/>
  <c r="I70" i="86"/>
  <c r="H70"/>
  <c r="I74"/>
  <c r="H74"/>
  <c r="H85"/>
  <c r="I85"/>
  <c r="I26"/>
  <c r="H26"/>
  <c r="I52"/>
  <c r="H52"/>
  <c r="C90"/>
  <c r="H91"/>
  <c r="I91"/>
  <c r="H49"/>
  <c r="I49"/>
  <c r="I63"/>
  <c r="H63"/>
  <c r="I67"/>
  <c r="H67"/>
  <c r="L27" i="26"/>
  <c r="I72" i="86"/>
  <c r="H72"/>
  <c r="H83"/>
  <c r="I83"/>
  <c r="I88"/>
  <c r="H88"/>
  <c r="C62"/>
  <c r="L15" i="26"/>
  <c r="C9" i="86"/>
  <c r="L19" i="26"/>
  <c r="L10" s="1"/>
  <c r="L21"/>
  <c r="L25"/>
  <c r="L14"/>
  <c r="I24"/>
  <c r="C82" i="86"/>
  <c r="D82"/>
  <c r="D51"/>
  <c r="D62"/>
  <c r="F28" i="67"/>
  <c r="F29" i="26" s="1"/>
  <c r="G73" i="47"/>
  <c r="F88"/>
  <c r="J88"/>
  <c r="K88"/>
  <c r="G82" i="86"/>
  <c r="D9"/>
  <c r="C51"/>
  <c r="L23" i="26" l="1"/>
  <c r="H9" i="86"/>
  <c r="I9"/>
  <c r="I51"/>
  <c r="H51"/>
  <c r="I82"/>
  <c r="H82"/>
  <c r="I62"/>
  <c r="H62"/>
  <c r="I90"/>
  <c r="H90"/>
  <c r="C8"/>
  <c r="D8"/>
  <c r="D94" s="1"/>
  <c r="F25" i="52"/>
  <c r="F24"/>
  <c r="E14" i="53"/>
  <c r="C57" i="66"/>
  <c r="D57"/>
  <c r="D56" s="1"/>
  <c r="D18" i="62"/>
  <c r="C18"/>
  <c r="D21" i="63"/>
  <c r="J36" i="62"/>
  <c r="I35"/>
  <c r="I34" s="1"/>
  <c r="J34" s="1"/>
  <c r="H34"/>
  <c r="H35"/>
  <c r="F35"/>
  <c r="F34"/>
  <c r="C94" i="86" l="1"/>
  <c r="I8"/>
  <c r="H8"/>
  <c r="C56" i="66"/>
  <c r="E57"/>
  <c r="E56" s="1"/>
  <c r="J35" i="62"/>
  <c r="B32" i="20"/>
  <c r="G41" i="67"/>
  <c r="G40" s="1"/>
  <c r="G39"/>
  <c r="G37"/>
  <c r="G36" s="1"/>
  <c r="G33"/>
  <c r="F41"/>
  <c r="F40" s="1"/>
  <c r="D18" i="46"/>
  <c r="D21"/>
  <c r="H95" i="47"/>
  <c r="H92"/>
  <c r="G38" i="67" s="1"/>
  <c r="H89" i="47"/>
  <c r="H84"/>
  <c r="G32" i="67" s="1"/>
  <c r="H82" i="47"/>
  <c r="G31" i="67" s="1"/>
  <c r="H78" i="47"/>
  <c r="I78"/>
  <c r="I73" s="1"/>
  <c r="H71"/>
  <c r="G26" i="67" s="1"/>
  <c r="I71" i="47"/>
  <c r="H69"/>
  <c r="G25" i="67" s="1"/>
  <c r="I69" i="47"/>
  <c r="H66"/>
  <c r="G24" i="67" s="1"/>
  <c r="I66" i="47"/>
  <c r="H64"/>
  <c r="G23" i="67" s="1"/>
  <c r="I64" i="47"/>
  <c r="H62"/>
  <c r="G22" i="67" s="1"/>
  <c r="I62" i="47"/>
  <c r="H54"/>
  <c r="I54"/>
  <c r="H51"/>
  <c r="G19" i="67" s="1"/>
  <c r="I51" i="47"/>
  <c r="H48"/>
  <c r="G17" i="67" s="1"/>
  <c r="I48" i="47"/>
  <c r="H38"/>
  <c r="G16" i="67" s="1"/>
  <c r="I38" i="47"/>
  <c r="H33"/>
  <c r="G15" i="67" s="1"/>
  <c r="I33" i="47"/>
  <c r="H30"/>
  <c r="G14" i="67" s="1"/>
  <c r="I30" i="47"/>
  <c r="H25"/>
  <c r="G13" i="67" s="1"/>
  <c r="I25" i="47"/>
  <c r="H21"/>
  <c r="G12" i="67" s="1"/>
  <c r="I21" i="47"/>
  <c r="H17"/>
  <c r="G11" i="67" s="1"/>
  <c r="I17" i="47"/>
  <c r="H13"/>
  <c r="G10" i="67" s="1"/>
  <c r="I13" i="47"/>
  <c r="H9"/>
  <c r="G9" i="67" s="1"/>
  <c r="I9" i="47"/>
  <c r="B87"/>
  <c r="A34" i="67" s="1"/>
  <c r="E34" s="1"/>
  <c r="B84" i="47"/>
  <c r="C87"/>
  <c r="C82"/>
  <c r="E87"/>
  <c r="E94"/>
  <c r="E97"/>
  <c r="I94" i="86" l="1"/>
  <c r="H94"/>
  <c r="G29" i="67"/>
  <c r="G27" s="1"/>
  <c r="H73" i="47"/>
  <c r="F87"/>
  <c r="J87"/>
  <c r="K87"/>
  <c r="F94"/>
  <c r="J94"/>
  <c r="K94"/>
  <c r="F97"/>
  <c r="K97"/>
  <c r="J97"/>
  <c r="H50"/>
  <c r="I8"/>
  <c r="I50"/>
  <c r="I61"/>
  <c r="H61"/>
  <c r="G20" i="67"/>
  <c r="G18" s="1"/>
  <c r="H8" i="47"/>
  <c r="H81"/>
  <c r="G21" i="67"/>
  <c r="G8"/>
  <c r="G30"/>
  <c r="F33"/>
  <c r="F32"/>
  <c r="E47" i="47"/>
  <c r="E46"/>
  <c r="E43"/>
  <c r="E40"/>
  <c r="E31"/>
  <c r="E29"/>
  <c r="E28"/>
  <c r="E27"/>
  <c r="E23"/>
  <c r="E16"/>
  <c r="E12"/>
  <c r="E11"/>
  <c r="E10"/>
  <c r="G95"/>
  <c r="G93"/>
  <c r="F39" i="67" s="1"/>
  <c r="G83" i="47"/>
  <c r="A57" i="66"/>
  <c r="A56" s="1"/>
  <c r="D27" i="17"/>
  <c r="J27" s="1"/>
  <c r="C8" i="83"/>
  <c r="F10" i="47" l="1"/>
  <c r="K10"/>
  <c r="J10"/>
  <c r="F27"/>
  <c r="K27"/>
  <c r="J27"/>
  <c r="F40"/>
  <c r="K40"/>
  <c r="J40"/>
  <c r="F46"/>
  <c r="K46"/>
  <c r="J46"/>
  <c r="F23"/>
  <c r="K23"/>
  <c r="J23"/>
  <c r="F31"/>
  <c r="K31"/>
  <c r="J31"/>
  <c r="F12"/>
  <c r="K12"/>
  <c r="J12"/>
  <c r="F29"/>
  <c r="K29"/>
  <c r="J29"/>
  <c r="F43"/>
  <c r="K43"/>
  <c r="J43"/>
  <c r="F11"/>
  <c r="K11"/>
  <c r="J11"/>
  <c r="F16"/>
  <c r="K16"/>
  <c r="J16"/>
  <c r="F28"/>
  <c r="K28"/>
  <c r="J28"/>
  <c r="F47"/>
  <c r="K47"/>
  <c r="J47"/>
  <c r="G92"/>
  <c r="F38" i="67" s="1"/>
  <c r="H98" i="47"/>
  <c r="G44" i="67"/>
  <c r="G82" i="47"/>
  <c r="G62"/>
  <c r="F22" i="67" s="1"/>
  <c r="E63" i="47"/>
  <c r="G90"/>
  <c r="F37" i="67" s="1"/>
  <c r="F36" s="1"/>
  <c r="E91" i="47"/>
  <c r="G9"/>
  <c r="F9" i="67" s="1"/>
  <c r="F11" i="26" s="1"/>
  <c r="F21" i="52"/>
  <c r="F22"/>
  <c r="F23"/>
  <c r="F26"/>
  <c r="F27"/>
  <c r="F28"/>
  <c r="F20"/>
  <c r="F15"/>
  <c r="F16"/>
  <c r="F17"/>
  <c r="F63" i="47" l="1"/>
  <c r="K63"/>
  <c r="J63"/>
  <c r="F91"/>
  <c r="J91"/>
  <c r="K91"/>
  <c r="F31" i="67"/>
  <c r="F30" s="1"/>
  <c r="G81" i="47"/>
  <c r="G89"/>
  <c r="F19" i="52"/>
  <c r="A21" i="17"/>
  <c r="B90" i="47" l="1"/>
  <c r="B89" s="1"/>
  <c r="B66"/>
  <c r="A24" i="67" s="1"/>
  <c r="C20" i="63"/>
  <c r="D20"/>
  <c r="C17"/>
  <c r="D17"/>
  <c r="C11"/>
  <c r="C7"/>
  <c r="D14"/>
  <c r="D17" i="46"/>
  <c r="D20"/>
  <c r="D12"/>
  <c r="D11" s="1"/>
  <c r="C7"/>
  <c r="F21" i="17"/>
  <c r="C17" i="46"/>
  <c r="D15"/>
  <c r="D14" s="1"/>
  <c r="C14"/>
  <c r="C11"/>
  <c r="C20"/>
  <c r="C44" i="1"/>
  <c r="C42"/>
  <c r="B43" i="55"/>
  <c r="B47" s="1"/>
  <c r="B39"/>
  <c r="D42" i="1"/>
  <c r="B42"/>
  <c r="E42"/>
  <c r="C39" i="55"/>
  <c r="C43"/>
  <c r="D43"/>
  <c r="D47" s="1"/>
  <c r="E43"/>
  <c r="E47" s="1"/>
  <c r="E39"/>
  <c r="E46" s="1"/>
  <c r="D39"/>
  <c r="E10" i="62"/>
  <c r="E9" s="1"/>
  <c r="F18" i="52"/>
  <c r="F12"/>
  <c r="F9"/>
  <c r="E23" i="62"/>
  <c r="E19"/>
  <c r="E22"/>
  <c r="E26"/>
  <c r="E20"/>
  <c r="D21" i="17"/>
  <c r="E21" i="32"/>
  <c r="B24" i="20"/>
  <c r="B27"/>
  <c r="E62" i="47"/>
  <c r="I90"/>
  <c r="B62"/>
  <c r="B64"/>
  <c r="B69"/>
  <c r="A25" i="67" s="1"/>
  <c r="B71" i="47"/>
  <c r="A26" i="67" s="1"/>
  <c r="A16"/>
  <c r="B48" i="47"/>
  <c r="A17" i="67" s="1"/>
  <c r="E17" i="63"/>
  <c r="E17" i="46"/>
  <c r="A33" i="33"/>
  <c r="J11" i="17"/>
  <c r="C28" i="66"/>
  <c r="C32"/>
  <c r="F10" i="52"/>
  <c r="F11"/>
  <c r="F13"/>
  <c r="F14"/>
  <c r="D20" i="49"/>
  <c r="E20"/>
  <c r="F20"/>
  <c r="G20"/>
  <c r="D20" i="68"/>
  <c r="E20"/>
  <c r="F20"/>
  <c r="G20"/>
  <c r="A9" i="67"/>
  <c r="A10"/>
  <c r="A11"/>
  <c r="A13"/>
  <c r="B30" i="47"/>
  <c r="B8" s="1"/>
  <c r="A15" i="67"/>
  <c r="C9" i="47"/>
  <c r="C13"/>
  <c r="B10" i="67" s="1"/>
  <c r="C17" i="47"/>
  <c r="B11" i="67" s="1"/>
  <c r="C21" i="47"/>
  <c r="B12" i="67" s="1"/>
  <c r="C25" i="47"/>
  <c r="B13" i="67" s="1"/>
  <c r="B14"/>
  <c r="C33" i="47"/>
  <c r="B15" i="67" s="1"/>
  <c r="C38" i="47"/>
  <c r="B16" i="67" s="1"/>
  <c r="C48" i="47"/>
  <c r="B17" i="67" s="1"/>
  <c r="B51" i="47"/>
  <c r="A20" i="67"/>
  <c r="C51" i="47"/>
  <c r="C54"/>
  <c r="B20" i="67" s="1"/>
  <c r="C64" i="47"/>
  <c r="B23" i="67" s="1"/>
  <c r="C66" i="47"/>
  <c r="B24" i="67" s="1"/>
  <c r="C69" i="47"/>
  <c r="B25" i="67" s="1"/>
  <c r="C71" i="47"/>
  <c r="B26" i="67" s="1"/>
  <c r="A28"/>
  <c r="B28"/>
  <c r="A29"/>
  <c r="B82" i="47"/>
  <c r="I83"/>
  <c r="I82" s="1"/>
  <c r="I81" s="1"/>
  <c r="A33" i="67"/>
  <c r="C84" i="47"/>
  <c r="C81" s="1"/>
  <c r="C90"/>
  <c r="C89" s="1"/>
  <c r="B93"/>
  <c r="B92" s="1"/>
  <c r="A38" i="67" s="1"/>
  <c r="C93" i="47"/>
  <c r="C92" s="1"/>
  <c r="B38" i="67" s="1"/>
  <c r="I93" i="47"/>
  <c r="I92" s="1"/>
  <c r="B96"/>
  <c r="B95" s="1"/>
  <c r="I96"/>
  <c r="I95" s="1"/>
  <c r="C95"/>
  <c r="B31" i="67"/>
  <c r="B22"/>
  <c r="A32"/>
  <c r="E11" i="63"/>
  <c r="D15"/>
  <c r="E20"/>
  <c r="E11" i="46"/>
  <c r="E14"/>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A32" i="66"/>
  <c r="A28"/>
  <c r="D22"/>
  <c r="D25"/>
  <c r="D28"/>
  <c r="D32"/>
  <c r="E17"/>
  <c r="E31"/>
  <c r="E34"/>
  <c r="E32" s="1"/>
  <c r="C39"/>
  <c r="C49"/>
  <c r="C46" s="1"/>
  <c r="D54"/>
  <c r="D53" s="1"/>
  <c r="D59"/>
  <c r="E40"/>
  <c r="E41"/>
  <c r="E42"/>
  <c r="E43"/>
  <c r="E45"/>
  <c r="E50"/>
  <c r="E51"/>
  <c r="A59"/>
  <c r="A54"/>
  <c r="A53" s="1"/>
  <c r="C54"/>
  <c r="B39" i="60"/>
  <c r="B39" i="39"/>
  <c r="G7" i="59"/>
  <c r="G8"/>
  <c r="E9" i="35"/>
  <c r="E9" i="59"/>
  <c r="E11" s="1"/>
  <c r="E14"/>
  <c r="F14"/>
  <c r="I8" i="38"/>
  <c r="I9"/>
  <c r="E15"/>
  <c r="F15"/>
  <c r="H13" i="35"/>
  <c r="J13" s="1"/>
  <c r="D10" i="37"/>
  <c r="E10"/>
  <c r="F10"/>
  <c r="C11"/>
  <c r="Q11"/>
  <c r="G9" i="35"/>
  <c r="H11"/>
  <c r="A10" i="33"/>
  <c r="A11" i="32"/>
  <c r="A15" i="33"/>
  <c r="A20"/>
  <c r="B10"/>
  <c r="E10"/>
  <c r="E11" i="32" s="1"/>
  <c r="A13" i="33"/>
  <c r="B13"/>
  <c r="E13"/>
  <c r="E12" i="32" s="1"/>
  <c r="B15" i="33"/>
  <c r="E15"/>
  <c r="B20"/>
  <c r="B9" s="1"/>
  <c r="E20"/>
  <c r="E14" i="32"/>
  <c r="F20" i="33"/>
  <c r="F8" s="1"/>
  <c r="F23"/>
  <c r="A24"/>
  <c r="A23"/>
  <c r="B24"/>
  <c r="B23" s="1"/>
  <c r="E24"/>
  <c r="E23" s="1"/>
  <c r="G25"/>
  <c r="G26"/>
  <c r="A28"/>
  <c r="A27" s="1"/>
  <c r="A30"/>
  <c r="B28"/>
  <c r="E28"/>
  <c r="E18" i="32"/>
  <c r="B30" i="33"/>
  <c r="E30"/>
  <c r="E27" s="1"/>
  <c r="A35"/>
  <c r="A32" s="1"/>
  <c r="B33"/>
  <c r="E33"/>
  <c r="E32" s="1"/>
  <c r="B35"/>
  <c r="B32" s="1"/>
  <c r="E35"/>
  <c r="E22" i="32" s="1"/>
  <c r="A38" i="33"/>
  <c r="A37" s="1"/>
  <c r="A23" i="32" s="1"/>
  <c r="B38" i="33"/>
  <c r="E38"/>
  <c r="E37"/>
  <c r="E23" i="32" s="1"/>
  <c r="A41" i="33"/>
  <c r="B41"/>
  <c r="E41"/>
  <c r="E40" s="1"/>
  <c r="A12" i="32"/>
  <c r="A13"/>
  <c r="A14"/>
  <c r="A18"/>
  <c r="A19"/>
  <c r="A21"/>
  <c r="A22"/>
  <c r="F14"/>
  <c r="F9" s="1"/>
  <c r="A24"/>
  <c r="F9" i="53"/>
  <c r="A10"/>
  <c r="A11" i="29" s="1"/>
  <c r="A10" s="1"/>
  <c r="A18" i="53"/>
  <c r="B10"/>
  <c r="B21"/>
  <c r="B18"/>
  <c r="E10"/>
  <c r="E11" i="29" s="1"/>
  <c r="F10" i="53"/>
  <c r="G11"/>
  <c r="G12"/>
  <c r="G13"/>
  <c r="A14"/>
  <c r="B14"/>
  <c r="E12" i="29"/>
  <c r="F14" i="53"/>
  <c r="G15"/>
  <c r="G16"/>
  <c r="E18"/>
  <c r="E13" i="29" s="1"/>
  <c r="F18" i="53"/>
  <c r="G19"/>
  <c r="G20"/>
  <c r="E21"/>
  <c r="E14" i="29" s="1"/>
  <c r="F21" i="53"/>
  <c r="G22"/>
  <c r="B23"/>
  <c r="E23"/>
  <c r="G24"/>
  <c r="G25"/>
  <c r="G26"/>
  <c r="A27"/>
  <c r="B27"/>
  <c r="E27"/>
  <c r="E16" i="29" s="1"/>
  <c r="G28" i="53"/>
  <c r="G29"/>
  <c r="A30"/>
  <c r="B30"/>
  <c r="E30"/>
  <c r="F30"/>
  <c r="G31"/>
  <c r="G32"/>
  <c r="G33"/>
  <c r="A34"/>
  <c r="B34"/>
  <c r="B18" i="29" s="1"/>
  <c r="E34" i="53"/>
  <c r="F34"/>
  <c r="G35"/>
  <c r="A37"/>
  <c r="B37"/>
  <c r="E37"/>
  <c r="E20" i="29" s="1"/>
  <c r="G38" i="53"/>
  <c r="G39"/>
  <c r="A40"/>
  <c r="B40"/>
  <c r="E40"/>
  <c r="G40" s="1"/>
  <c r="F40"/>
  <c r="F36" s="1"/>
  <c r="G41"/>
  <c r="G42"/>
  <c r="G43"/>
  <c r="G44"/>
  <c r="G45"/>
  <c r="A47"/>
  <c r="B47"/>
  <c r="B23" i="29" s="1"/>
  <c r="E47" i="53"/>
  <c r="E23" i="29" s="1"/>
  <c r="G48" i="53"/>
  <c r="A49"/>
  <c r="B49"/>
  <c r="E49"/>
  <c r="E24" i="29" s="1"/>
  <c r="F49" i="53"/>
  <c r="F46" s="1"/>
  <c r="G50"/>
  <c r="A51"/>
  <c r="A25" i="29" s="1"/>
  <c r="B51" i="53"/>
  <c r="B46" s="1"/>
  <c r="E51"/>
  <c r="F51"/>
  <c r="G52"/>
  <c r="F53"/>
  <c r="A54"/>
  <c r="A27" i="29" s="1"/>
  <c r="A26" s="1"/>
  <c r="B54" i="53"/>
  <c r="B53" s="1"/>
  <c r="B27" i="29" s="1"/>
  <c r="B26" s="1"/>
  <c r="E54" i="53"/>
  <c r="E53" s="1"/>
  <c r="F54"/>
  <c r="G55"/>
  <c r="A16" i="29"/>
  <c r="A18"/>
  <c r="A20"/>
  <c r="A23"/>
  <c r="A24"/>
  <c r="B16"/>
  <c r="B20"/>
  <c r="B24"/>
  <c r="F9"/>
  <c r="F11"/>
  <c r="C8" i="24"/>
  <c r="F9" i="22"/>
  <c r="A8" i="19"/>
  <c r="A20" s="1"/>
  <c r="B10" s="1"/>
  <c r="E14"/>
  <c r="E12" s="1"/>
  <c r="A9" i="17"/>
  <c r="F9"/>
  <c r="H13"/>
  <c r="I13" s="1"/>
  <c r="F15"/>
  <c r="F17"/>
  <c r="A15"/>
  <c r="A17"/>
  <c r="A23"/>
  <c r="D23"/>
  <c r="F23"/>
  <c r="H24"/>
  <c r="H25"/>
  <c r="H27"/>
  <c r="I27" s="1"/>
  <c r="A29"/>
  <c r="A28" s="1"/>
  <c r="F29"/>
  <c r="F42" i="1"/>
  <c r="B44"/>
  <c r="D44"/>
  <c r="E44"/>
  <c r="F44"/>
  <c r="C47" i="55"/>
  <c r="C41" i="12"/>
  <c r="C45" s="1"/>
  <c r="E24" i="32"/>
  <c r="G54" i="53"/>
  <c r="G37"/>
  <c r="B12" i="36"/>
  <c r="G24" i="33"/>
  <c r="I8" i="62"/>
  <c r="D8"/>
  <c r="G49" i="53"/>
  <c r="E46"/>
  <c r="G47"/>
  <c r="G27"/>
  <c r="G18"/>
  <c r="H23" i="67"/>
  <c r="E19" i="32"/>
  <c r="E13"/>
  <c r="E21" i="29"/>
  <c r="E25"/>
  <c r="E18"/>
  <c r="G21" i="53"/>
  <c r="D14" i="59"/>
  <c r="D15" i="38"/>
  <c r="E16" i="32"/>
  <c r="E15" s="1"/>
  <c r="A16"/>
  <c r="A15" s="1"/>
  <c r="B41" i="67"/>
  <c r="B40" s="1"/>
  <c r="A19"/>
  <c r="D44" i="55" l="1"/>
  <c r="A7" i="66"/>
  <c r="A35" s="1"/>
  <c r="G10" i="53"/>
  <c r="B61" i="47"/>
  <c r="C46" i="55"/>
  <c r="E36" i="53"/>
  <c r="E9"/>
  <c r="A27" i="67"/>
  <c r="A14"/>
  <c r="A12"/>
  <c r="J23" i="17"/>
  <c r="B29" i="67"/>
  <c r="B27" s="1"/>
  <c r="C73" i="47"/>
  <c r="J21" i="17"/>
  <c r="B20"/>
  <c r="B33"/>
  <c r="D46" i="55"/>
  <c r="D18" i="66"/>
  <c r="B29" i="20"/>
  <c r="C38" i="66"/>
  <c r="C37" s="1"/>
  <c r="E39"/>
  <c r="E38" s="1"/>
  <c r="C53"/>
  <c r="E53" s="1"/>
  <c r="E54"/>
  <c r="E29"/>
  <c r="E28" s="1"/>
  <c r="B26" i="17"/>
  <c r="A37" i="67"/>
  <c r="A36" s="1"/>
  <c r="B39"/>
  <c r="K62" i="47"/>
  <c r="J62"/>
  <c r="A39" i="67"/>
  <c r="A23"/>
  <c r="F62" i="47"/>
  <c r="A22" i="67"/>
  <c r="B17" i="17"/>
  <c r="F28"/>
  <c r="F20"/>
  <c r="B18"/>
  <c r="B27"/>
  <c r="B25"/>
  <c r="B13"/>
  <c r="E44" i="55"/>
  <c r="G42" i="35"/>
  <c r="F12" i="38"/>
  <c r="D9" i="59"/>
  <c r="D11" s="1"/>
  <c r="N11" i="37"/>
  <c r="O11" s="1"/>
  <c r="F14" i="17"/>
  <c r="F8" i="22"/>
  <c r="E8" s="1"/>
  <c r="A31" i="67"/>
  <c r="A30" s="1"/>
  <c r="B81" i="47"/>
  <c r="H41" i="67"/>
  <c r="H40" s="1"/>
  <c r="D40" s="1"/>
  <c r="E17" i="29"/>
  <c r="E10" s="1"/>
  <c r="L28" i="26"/>
  <c r="E75" i="47"/>
  <c r="A52" i="66"/>
  <c r="A62" s="1"/>
  <c r="D52"/>
  <c r="C43" i="12"/>
  <c r="C44"/>
  <c r="E90" i="47"/>
  <c r="I89"/>
  <c r="E89" s="1"/>
  <c r="E85"/>
  <c r="H32" i="67"/>
  <c r="D32" s="1"/>
  <c r="E32" s="1"/>
  <c r="E25" i="62"/>
  <c r="D17"/>
  <c r="C17"/>
  <c r="E21"/>
  <c r="B9" i="67"/>
  <c r="B8" s="1"/>
  <c r="C8" i="47"/>
  <c r="B33" i="67"/>
  <c r="E95" i="47"/>
  <c r="E96"/>
  <c r="E93"/>
  <c r="E83"/>
  <c r="H37" i="67"/>
  <c r="H29"/>
  <c r="H27" s="1"/>
  <c r="H26"/>
  <c r="H25"/>
  <c r="H17"/>
  <c r="H13"/>
  <c r="H12"/>
  <c r="H11"/>
  <c r="C61" i="47"/>
  <c r="D38" i="66"/>
  <c r="D37" s="1"/>
  <c r="A9" i="33"/>
  <c r="H9" i="35"/>
  <c r="E49" i="66"/>
  <c r="E46" s="1"/>
  <c r="B15" i="20"/>
  <c r="F8" i="62"/>
  <c r="H39" i="67"/>
  <c r="D39" s="1"/>
  <c r="B37"/>
  <c r="B36" s="1"/>
  <c r="G51" i="53"/>
  <c r="G34"/>
  <c r="A17" i="32"/>
  <c r="B27" i="33"/>
  <c r="G23"/>
  <c r="E9"/>
  <c r="J9" i="62"/>
  <c r="J8" s="1"/>
  <c r="B8" i="19"/>
  <c r="B36" i="53"/>
  <c r="A36"/>
  <c r="G30"/>
  <c r="G23"/>
  <c r="E19" i="29"/>
  <c r="G46" i="53"/>
  <c r="A46"/>
  <c r="F8"/>
  <c r="G14"/>
  <c r="H24" i="67"/>
  <c r="I23" i="26"/>
  <c r="I20"/>
  <c r="N12" i="37"/>
  <c r="P12" s="1"/>
  <c r="P10" s="1"/>
  <c r="E42" i="35"/>
  <c r="D12" i="38"/>
  <c r="B13" i="36"/>
  <c r="B10" s="1"/>
  <c r="B44" s="1"/>
  <c r="F9" i="59"/>
  <c r="F11" s="1"/>
  <c r="G13" i="20"/>
  <c r="L20" i="26"/>
  <c r="L9" s="1"/>
  <c r="G15" i="59"/>
  <c r="A20" i="32"/>
  <c r="B21" i="67"/>
  <c r="A40" i="33"/>
  <c r="I10" i="26"/>
  <c r="A14" i="17"/>
  <c r="H11"/>
  <c r="I11" s="1"/>
  <c r="H22"/>
  <c r="I22" s="1"/>
  <c r="F8"/>
  <c r="D12" i="63"/>
  <c r="D11" s="1"/>
  <c r="H23" i="17"/>
  <c r="I23" s="1"/>
  <c r="F12" i="36"/>
  <c r="M12" s="1"/>
  <c r="I15" i="38"/>
  <c r="B10" i="29"/>
  <c r="E20" i="32"/>
  <c r="I16" i="38"/>
  <c r="B19" i="29"/>
  <c r="F8" i="52"/>
  <c r="B32" i="67"/>
  <c r="C50" i="47"/>
  <c r="B19" i="67"/>
  <c r="B18" s="1"/>
  <c r="A41"/>
  <c r="A40" s="1"/>
  <c r="A18"/>
  <c r="B50" i="47"/>
  <c r="G53" i="53"/>
  <c r="E27" i="29"/>
  <c r="E26" s="1"/>
  <c r="D9" i="17"/>
  <c r="H10"/>
  <c r="I10" s="1"/>
  <c r="E12" i="38"/>
  <c r="E69" i="33"/>
  <c r="E10" i="32"/>
  <c r="B9" i="19"/>
  <c r="B25" i="29"/>
  <c r="B22" s="1"/>
  <c r="A19"/>
  <c r="H8" i="62"/>
  <c r="E11"/>
  <c r="E8" s="1"/>
  <c r="E9" i="47"/>
  <c r="B46" i="55"/>
  <c r="A22" i="29"/>
  <c r="B9" i="53"/>
  <c r="E22" i="29"/>
  <c r="A53" i="53"/>
  <c r="E17" i="32"/>
  <c r="A10"/>
  <c r="G14" i="59"/>
  <c r="I7" i="62"/>
  <c r="E18"/>
  <c r="E17" s="1"/>
  <c r="H22" i="67"/>
  <c r="D22" s="1"/>
  <c r="H21" i="17"/>
  <c r="I21" s="1"/>
  <c r="D20"/>
  <c r="C42" i="13" s="1"/>
  <c r="J19" i="62"/>
  <c r="J18" s="1"/>
  <c r="F7"/>
  <c r="D7"/>
  <c r="D37" s="1"/>
  <c r="C8"/>
  <c r="C7" s="1"/>
  <c r="C37" s="1"/>
  <c r="A17"/>
  <c r="A8"/>
  <c r="E8" i="53" l="1"/>
  <c r="E75" s="1"/>
  <c r="A21" i="67"/>
  <c r="E37" i="66"/>
  <c r="B98" i="47"/>
  <c r="G36" i="53"/>
  <c r="I9" i="26"/>
  <c r="J20" i="17"/>
  <c r="F38" i="55"/>
  <c r="L8" i="26"/>
  <c r="K8" s="1"/>
  <c r="B16" i="20"/>
  <c r="A8" i="67"/>
  <c r="F31" i="17"/>
  <c r="G31" s="1"/>
  <c r="J9"/>
  <c r="G23"/>
  <c r="G26"/>
  <c r="G33"/>
  <c r="H42" i="35"/>
  <c r="J42" s="1"/>
  <c r="J9"/>
  <c r="E39" i="67"/>
  <c r="E22"/>
  <c r="J83" i="47"/>
  <c r="K83"/>
  <c r="F85"/>
  <c r="K85"/>
  <c r="J85"/>
  <c r="F95"/>
  <c r="J95"/>
  <c r="K95"/>
  <c r="F75"/>
  <c r="K75"/>
  <c r="J75"/>
  <c r="F96"/>
  <c r="J96"/>
  <c r="K96"/>
  <c r="F90"/>
  <c r="J90"/>
  <c r="K90"/>
  <c r="F9"/>
  <c r="K9"/>
  <c r="J9"/>
  <c r="F93"/>
  <c r="K93"/>
  <c r="J93"/>
  <c r="F89"/>
  <c r="K89"/>
  <c r="J89"/>
  <c r="E40" i="67"/>
  <c r="E82" i="47"/>
  <c r="F83"/>
  <c r="C23" i="66"/>
  <c r="E23" s="1"/>
  <c r="E22" s="1"/>
  <c r="C22" i="87"/>
  <c r="E20" i="66"/>
  <c r="E19" s="1"/>
  <c r="C19" i="87"/>
  <c r="G29" i="17"/>
  <c r="G24"/>
  <c r="G30"/>
  <c r="G12"/>
  <c r="G27"/>
  <c r="G13"/>
  <c r="G25"/>
  <c r="G18"/>
  <c r="G11"/>
  <c r="G17"/>
  <c r="G28"/>
  <c r="D41" i="67"/>
  <c r="E41" s="1"/>
  <c r="B11" i="17"/>
  <c r="B29"/>
  <c r="G14"/>
  <c r="G20"/>
  <c r="G16"/>
  <c r="B30" i="67"/>
  <c r="B44" s="1"/>
  <c r="E79" i="47"/>
  <c r="G48"/>
  <c r="E49"/>
  <c r="E76"/>
  <c r="E77"/>
  <c r="B28" i="17"/>
  <c r="B12"/>
  <c r="G9"/>
  <c r="B15"/>
  <c r="B21"/>
  <c r="B30"/>
  <c r="B10"/>
  <c r="B14"/>
  <c r="B22"/>
  <c r="C25" i="66"/>
  <c r="E26"/>
  <c r="E25" s="1"/>
  <c r="H7" i="62"/>
  <c r="H37" s="1"/>
  <c r="A7"/>
  <c r="A37" s="1"/>
  <c r="H36" i="67"/>
  <c r="D36" s="1"/>
  <c r="E36" s="1"/>
  <c r="D37"/>
  <c r="E37" s="1"/>
  <c r="E86" i="47"/>
  <c r="I98"/>
  <c r="C98"/>
  <c r="H31" i="67"/>
  <c r="D31" s="1"/>
  <c r="E31" s="1"/>
  <c r="H38"/>
  <c r="D38" s="1"/>
  <c r="E38" s="1"/>
  <c r="E92" i="47"/>
  <c r="H21" i="67"/>
  <c r="H33"/>
  <c r="H20"/>
  <c r="H19"/>
  <c r="H16"/>
  <c r="H15"/>
  <c r="H14"/>
  <c r="H10"/>
  <c r="H9"/>
  <c r="D9" s="1"/>
  <c r="E9" s="1"/>
  <c r="D62" i="66"/>
  <c r="D10" s="1"/>
  <c r="I37" i="62"/>
  <c r="B9" i="29"/>
  <c r="B8" s="1"/>
  <c r="B33" s="1"/>
  <c r="A8" i="53"/>
  <c r="A75" s="1"/>
  <c r="G22" i="17"/>
  <c r="B16"/>
  <c r="B8"/>
  <c r="B9"/>
  <c r="B23"/>
  <c r="B24"/>
  <c r="I34" i="26"/>
  <c r="F29" i="52"/>
  <c r="A9" i="29"/>
  <c r="A8" s="1"/>
  <c r="A33" s="1"/>
  <c r="N10" i="37"/>
  <c r="I10" i="38"/>
  <c r="I12" s="1"/>
  <c r="C12" i="37"/>
  <c r="B12" s="1"/>
  <c r="G9" i="59"/>
  <c r="G11" s="1"/>
  <c r="F13" i="36"/>
  <c r="E9" i="29"/>
  <c r="J18" i="17" s="1"/>
  <c r="G12" i="36"/>
  <c r="E9" i="32"/>
  <c r="A8" i="33"/>
  <c r="F19" i="17"/>
  <c r="G19" s="1"/>
  <c r="G15"/>
  <c r="G10"/>
  <c r="G8"/>
  <c r="B19"/>
  <c r="G21"/>
  <c r="L12" i="36"/>
  <c r="J7" i="62"/>
  <c r="J37" s="1"/>
  <c r="F37"/>
  <c r="H9" i="17"/>
  <c r="I9" s="1"/>
  <c r="D8"/>
  <c r="F37" i="55" s="1"/>
  <c r="B31" i="17"/>
  <c r="G9" i="53"/>
  <c r="B8"/>
  <c r="H20" i="17"/>
  <c r="I20" s="1"/>
  <c r="E7" i="62"/>
  <c r="E37" s="1"/>
  <c r="A44" i="67" l="1"/>
  <c r="D9" i="66"/>
  <c r="B34" i="20"/>
  <c r="F39" i="55"/>
  <c r="E33" i="17"/>
  <c r="E26"/>
  <c r="C39" i="13"/>
  <c r="C45" s="1"/>
  <c r="E74" i="47"/>
  <c r="B13" i="20" s="1"/>
  <c r="E18" i="66"/>
  <c r="E12" i="17"/>
  <c r="J8"/>
  <c r="J86" i="47"/>
  <c r="K86"/>
  <c r="F77"/>
  <c r="K77"/>
  <c r="J77"/>
  <c r="F49"/>
  <c r="K49"/>
  <c r="J49"/>
  <c r="F82"/>
  <c r="J82"/>
  <c r="K82"/>
  <c r="F76"/>
  <c r="J76"/>
  <c r="K76"/>
  <c r="F79"/>
  <c r="J79"/>
  <c r="K79"/>
  <c r="F92"/>
  <c r="J92"/>
  <c r="K92"/>
  <c r="C22" i="66"/>
  <c r="E84" i="47"/>
  <c r="F86"/>
  <c r="C19" i="66"/>
  <c r="C21" i="87"/>
  <c r="E22"/>
  <c r="E21" s="1"/>
  <c r="C18"/>
  <c r="E19"/>
  <c r="E18" s="1"/>
  <c r="F29" i="67"/>
  <c r="F30" i="26" s="1"/>
  <c r="F28" s="1"/>
  <c r="E78" i="47"/>
  <c r="B14" i="20" s="1"/>
  <c r="F17" i="67"/>
  <c r="F19" i="26" s="1"/>
  <c r="E48" i="47"/>
  <c r="D17" i="17"/>
  <c r="E18"/>
  <c r="E9"/>
  <c r="E13"/>
  <c r="E11"/>
  <c r="I8" i="26"/>
  <c r="H8" s="1"/>
  <c r="H30" i="67"/>
  <c r="D30" s="1"/>
  <c r="E30" s="1"/>
  <c r="D33"/>
  <c r="E33" s="1"/>
  <c r="H18"/>
  <c r="H8"/>
  <c r="C10" i="37"/>
  <c r="F32" i="17"/>
  <c r="G32" s="1"/>
  <c r="L34" i="26"/>
  <c r="E8" i="32"/>
  <c r="E40" s="1"/>
  <c r="E8" i="29"/>
  <c r="E33" s="1"/>
  <c r="G13" i="36"/>
  <c r="M13"/>
  <c r="L13"/>
  <c r="F10"/>
  <c r="M10" s="1"/>
  <c r="M44" s="1"/>
  <c r="O12" i="37"/>
  <c r="Q12"/>
  <c r="B10"/>
  <c r="A8" i="32"/>
  <c r="A40" s="1"/>
  <c r="A69" i="33"/>
  <c r="B32" i="17"/>
  <c r="E20"/>
  <c r="H18"/>
  <c r="I18" s="1"/>
  <c r="B75" i="53"/>
  <c r="G8"/>
  <c r="E22" i="17"/>
  <c r="E23"/>
  <c r="E8"/>
  <c r="E25"/>
  <c r="E24"/>
  <c r="E27"/>
  <c r="H8"/>
  <c r="I8" s="1"/>
  <c r="E10"/>
  <c r="E21"/>
  <c r="B40" i="32"/>
  <c r="E16" i="17"/>
  <c r="H16"/>
  <c r="I16" s="1"/>
  <c r="E8" i="63"/>
  <c r="E8" i="46"/>
  <c r="D15" i="17"/>
  <c r="E30"/>
  <c r="D29"/>
  <c r="H30"/>
  <c r="I30" s="1"/>
  <c r="F74" i="47" l="1"/>
  <c r="D8" i="66"/>
  <c r="D7" s="1"/>
  <c r="D35" s="1"/>
  <c r="F46" i="55"/>
  <c r="C49" i="13"/>
  <c r="C47"/>
  <c r="B12" i="20"/>
  <c r="J29" i="17"/>
  <c r="J15"/>
  <c r="E40" i="13"/>
  <c r="E39" s="1"/>
  <c r="C48"/>
  <c r="C18" i="66"/>
  <c r="D28" i="67"/>
  <c r="E28" s="1"/>
  <c r="J74" i="47"/>
  <c r="E73"/>
  <c r="K73" s="1"/>
  <c r="K74"/>
  <c r="D29" i="67"/>
  <c r="F27"/>
  <c r="E17" i="17"/>
  <c r="J17"/>
  <c r="J84" i="47"/>
  <c r="K84"/>
  <c r="F78"/>
  <c r="J78"/>
  <c r="K78"/>
  <c r="F48"/>
  <c r="K48"/>
  <c r="J48"/>
  <c r="E81"/>
  <c r="F84"/>
  <c r="C17" i="87"/>
  <c r="C7" s="1"/>
  <c r="C37" s="1"/>
  <c r="E17"/>
  <c r="E7" s="1"/>
  <c r="E37" s="1"/>
  <c r="H17" i="17"/>
  <c r="I17" s="1"/>
  <c r="D17" i="67"/>
  <c r="E17" s="1"/>
  <c r="H44"/>
  <c r="F44" i="36"/>
  <c r="L10"/>
  <c r="L44" s="1"/>
  <c r="G10"/>
  <c r="G44" s="1"/>
  <c r="Q10" i="37"/>
  <c r="O10"/>
  <c r="E7" i="63"/>
  <c r="D8"/>
  <c r="D7" s="1"/>
  <c r="D8" i="46"/>
  <c r="D7" s="1"/>
  <c r="E7"/>
  <c r="H15" i="17"/>
  <c r="I15" s="1"/>
  <c r="D14"/>
  <c r="E15"/>
  <c r="E29"/>
  <c r="H29"/>
  <c r="I29" s="1"/>
  <c r="D28"/>
  <c r="J28" l="1"/>
  <c r="F42" i="55"/>
  <c r="J14" i="17"/>
  <c r="F41" i="55"/>
  <c r="J73" i="47"/>
  <c r="F73"/>
  <c r="E29" i="67"/>
  <c r="E27" s="1"/>
  <c r="D27"/>
  <c r="F81" i="47"/>
  <c r="K81"/>
  <c r="J81"/>
  <c r="H28" i="17"/>
  <c r="I28" s="1"/>
  <c r="E28"/>
  <c r="D31"/>
  <c r="J31" s="1"/>
  <c r="E14"/>
  <c r="H14"/>
  <c r="I14" s="1"/>
  <c r="D19"/>
  <c r="J19" s="1"/>
  <c r="F43" i="55" l="1"/>
  <c r="F44" s="1"/>
  <c r="E19" i="17"/>
  <c r="H19"/>
  <c r="I19" s="1"/>
  <c r="D32"/>
  <c r="H31"/>
  <c r="I31" s="1"/>
  <c r="E31"/>
  <c r="F47" i="55" l="1"/>
  <c r="J32" i="17"/>
  <c r="E44" i="13"/>
  <c r="E45" s="1"/>
  <c r="H32" i="17"/>
  <c r="I32" s="1"/>
  <c r="E32"/>
  <c r="E9" i="19"/>
  <c r="B9" i="20"/>
  <c r="B11" s="1"/>
  <c r="E47" i="13" l="1"/>
  <c r="E49"/>
  <c r="E50"/>
  <c r="B18" i="20"/>
  <c r="B20" s="1"/>
  <c r="B33" s="1"/>
  <c r="B35" s="1"/>
  <c r="E8" i="19"/>
  <c r="F31" s="1"/>
  <c r="F22" l="1"/>
  <c r="F21"/>
  <c r="F23"/>
  <c r="F28"/>
  <c r="F29"/>
  <c r="F17"/>
  <c r="E20"/>
  <c r="C37" i="14" s="1"/>
  <c r="F27" i="19"/>
  <c r="F10"/>
  <c r="F12"/>
  <c r="F14"/>
  <c r="F15"/>
  <c r="F30"/>
  <c r="F8"/>
  <c r="F18"/>
  <c r="F26"/>
  <c r="F9"/>
  <c r="E37" i="14" l="1"/>
  <c r="E40" s="1"/>
  <c r="C40"/>
  <c r="F20" i="19"/>
  <c r="G26" i="47"/>
  <c r="G26" i="86"/>
  <c r="C60" i="66" l="1"/>
  <c r="C59" s="1"/>
  <c r="C52" s="1"/>
  <c r="C62" s="1"/>
  <c r="C10" s="1"/>
  <c r="E61"/>
  <c r="E60" s="1"/>
  <c r="E59" s="1"/>
  <c r="E52" s="1"/>
  <c r="E62" s="1"/>
  <c r="E26" i="47"/>
  <c r="G25"/>
  <c r="C9" i="66" l="1"/>
  <c r="E10"/>
  <c r="F26" i="47"/>
  <c r="K26"/>
  <c r="J26"/>
  <c r="F13" i="67"/>
  <c r="E25" i="47"/>
  <c r="C8" i="66" l="1"/>
  <c r="C7" s="1"/>
  <c r="C35" s="1"/>
  <c r="E9"/>
  <c r="E8" s="1"/>
  <c r="E7" s="1"/>
  <c r="E35" s="1"/>
  <c r="D13" i="67"/>
  <c r="E13" s="1"/>
  <c r="F15" i="26"/>
  <c r="F25" i="47"/>
  <c r="K25"/>
  <c r="J25"/>
  <c r="E15" l="1"/>
  <c r="G52"/>
  <c r="F15" l="1"/>
  <c r="J15"/>
  <c r="K15"/>
  <c r="E52"/>
  <c r="G14" i="86"/>
  <c r="E14" i="47" l="1"/>
  <c r="G13"/>
  <c r="J52"/>
  <c r="K52"/>
  <c r="F52"/>
  <c r="F14" l="1"/>
  <c r="J14"/>
  <c r="K14"/>
  <c r="F10" i="67"/>
  <c r="F12" i="26" s="1"/>
  <c r="E13" i="47"/>
  <c r="J13" l="1"/>
  <c r="K13"/>
  <c r="F13"/>
  <c r="D10" i="67"/>
  <c r="E10" s="1"/>
  <c r="B8" i="33" l="1"/>
  <c r="B69" s="1"/>
  <c r="G42" i="47" l="1"/>
  <c r="E42" s="1"/>
  <c r="F42" l="1"/>
  <c r="K42"/>
  <c r="J42"/>
  <c r="G31" i="86"/>
  <c r="G32" i="47"/>
  <c r="G35"/>
  <c r="E35" s="1"/>
  <c r="G68"/>
  <c r="E68" s="1"/>
  <c r="G44"/>
  <c r="E44" s="1"/>
  <c r="G39"/>
  <c r="G72" i="86"/>
  <c r="G72" i="47"/>
  <c r="G39" i="86"/>
  <c r="G20" i="47"/>
  <c r="E20" s="1"/>
  <c r="G59"/>
  <c r="E59" s="1"/>
  <c r="G18"/>
  <c r="G18" i="86"/>
  <c r="G70" l="1"/>
  <c r="G70" i="47"/>
  <c r="F20"/>
  <c r="J20"/>
  <c r="K20"/>
  <c r="F35"/>
  <c r="K35"/>
  <c r="J35"/>
  <c r="G56"/>
  <c r="E56" s="1"/>
  <c r="G37"/>
  <c r="E37" s="1"/>
  <c r="G55" i="86"/>
  <c r="G55" i="47"/>
  <c r="K59"/>
  <c r="J59"/>
  <c r="F59"/>
  <c r="G34"/>
  <c r="G34" i="86"/>
  <c r="E39" i="47"/>
  <c r="G30"/>
  <c r="E32"/>
  <c r="G67" i="86"/>
  <c r="G67" i="47"/>
  <c r="G24"/>
  <c r="E24" s="1"/>
  <c r="G36"/>
  <c r="E36" s="1"/>
  <c r="G60"/>
  <c r="E60" s="1"/>
  <c r="G45"/>
  <c r="E45" s="1"/>
  <c r="E72"/>
  <c r="G71"/>
  <c r="J68"/>
  <c r="K68"/>
  <c r="F68"/>
  <c r="G22" i="86"/>
  <c r="G22" i="47"/>
  <c r="G19"/>
  <c r="E19" s="1"/>
  <c r="E18"/>
  <c r="G65" i="86"/>
  <c r="G65" i="47"/>
  <c r="G52" i="86"/>
  <c r="G53" i="47"/>
  <c r="G58"/>
  <c r="E58" s="1"/>
  <c r="J44"/>
  <c r="F44"/>
  <c r="K44"/>
  <c r="G17" l="1"/>
  <c r="F11" i="67" s="1"/>
  <c r="G64" i="47"/>
  <c r="E65"/>
  <c r="J18"/>
  <c r="F18"/>
  <c r="K18"/>
  <c r="F45"/>
  <c r="K45"/>
  <c r="J45"/>
  <c r="G51" i="86"/>
  <c r="G21" i="47"/>
  <c r="E22"/>
  <c r="G66"/>
  <c r="E67"/>
  <c r="F14" i="67"/>
  <c r="E30" i="47"/>
  <c r="J37"/>
  <c r="F37"/>
  <c r="K37"/>
  <c r="G62" i="86"/>
  <c r="F19" i="47"/>
  <c r="J19"/>
  <c r="K19"/>
  <c r="J72"/>
  <c r="F72"/>
  <c r="K72"/>
  <c r="K32"/>
  <c r="J32"/>
  <c r="F32"/>
  <c r="E70"/>
  <c r="G69"/>
  <c r="E53"/>
  <c r="G51"/>
  <c r="F26" i="67"/>
  <c r="E71" i="47"/>
  <c r="J60"/>
  <c r="F60"/>
  <c r="K60"/>
  <c r="K24"/>
  <c r="J24"/>
  <c r="F24"/>
  <c r="F56"/>
  <c r="K56"/>
  <c r="J56"/>
  <c r="G38"/>
  <c r="F36"/>
  <c r="J36"/>
  <c r="K36"/>
  <c r="J39"/>
  <c r="F39"/>
  <c r="K39"/>
  <c r="G33"/>
  <c r="E34"/>
  <c r="E55"/>
  <c r="G54"/>
  <c r="G9" i="86"/>
  <c r="F58" i="47"/>
  <c r="J58"/>
  <c r="K58"/>
  <c r="E17" l="1"/>
  <c r="F17" s="1"/>
  <c r="K70"/>
  <c r="F70"/>
  <c r="J70"/>
  <c r="F16" i="26"/>
  <c r="D14" i="67"/>
  <c r="E14" s="1"/>
  <c r="E21" i="47"/>
  <c r="F12" i="67"/>
  <c r="F65" i="47"/>
  <c r="K65"/>
  <c r="J65"/>
  <c r="E54"/>
  <c r="F20" i="67"/>
  <c r="F71" i="47"/>
  <c r="K71"/>
  <c r="J71"/>
  <c r="F25" i="67"/>
  <c r="E69" i="47"/>
  <c r="F30"/>
  <c r="J30"/>
  <c r="K30"/>
  <c r="G8" i="86"/>
  <c r="E33" i="47"/>
  <c r="F15" i="67"/>
  <c r="K53" i="47"/>
  <c r="J53"/>
  <c r="F53"/>
  <c r="E66"/>
  <c r="F24" i="67"/>
  <c r="F13" i="26"/>
  <c r="D11" i="67"/>
  <c r="E11" s="1"/>
  <c r="F34" i="47"/>
  <c r="K34"/>
  <c r="J34"/>
  <c r="E38"/>
  <c r="F16" i="67"/>
  <c r="E51" i="47"/>
  <c r="F19" i="67"/>
  <c r="G50" i="47"/>
  <c r="E50" s="1"/>
  <c r="F67"/>
  <c r="K67"/>
  <c r="J67"/>
  <c r="G61"/>
  <c r="E61" s="1"/>
  <c r="E64"/>
  <c r="F23" i="67"/>
  <c r="G8" i="47"/>
  <c r="J55"/>
  <c r="F55"/>
  <c r="K55"/>
  <c r="F27" i="26"/>
  <c r="D26" i="67"/>
  <c r="E26" s="1"/>
  <c r="K22" i="47"/>
  <c r="F22"/>
  <c r="J22"/>
  <c r="K17" l="1"/>
  <c r="J17"/>
  <c r="F8" i="67"/>
  <c r="D8" s="1"/>
  <c r="E8" s="1"/>
  <c r="G98" i="47"/>
  <c r="E98" s="1"/>
  <c r="E8"/>
  <c r="F21"/>
  <c r="K21"/>
  <c r="J21"/>
  <c r="J61"/>
  <c r="F61"/>
  <c r="K61"/>
  <c r="F21" i="26"/>
  <c r="F18" i="67"/>
  <c r="D18" s="1"/>
  <c r="E18" s="1"/>
  <c r="D19"/>
  <c r="E19" s="1"/>
  <c r="J33" i="47"/>
  <c r="K33"/>
  <c r="F33"/>
  <c r="F54"/>
  <c r="K54"/>
  <c r="J54"/>
  <c r="F14" i="26"/>
  <c r="D12" i="67"/>
  <c r="E12" s="1"/>
  <c r="F64" i="47"/>
  <c r="J64"/>
  <c r="K64"/>
  <c r="K38"/>
  <c r="J38"/>
  <c r="F38"/>
  <c r="F66"/>
  <c r="J66"/>
  <c r="K66"/>
  <c r="D15" i="67"/>
  <c r="E15" s="1"/>
  <c r="F17" i="26"/>
  <c r="F26"/>
  <c r="D25" i="67"/>
  <c r="E25" s="1"/>
  <c r="F22" i="26"/>
  <c r="D20" i="67"/>
  <c r="E20" s="1"/>
  <c r="F24" i="26"/>
  <c r="F21" i="67"/>
  <c r="D21" s="1"/>
  <c r="E21" s="1"/>
  <c r="D23"/>
  <c r="E23" s="1"/>
  <c r="F18" i="26"/>
  <c r="D16" i="67"/>
  <c r="E16" s="1"/>
  <c r="F25" i="26"/>
  <c r="D24" i="67"/>
  <c r="E24" s="1"/>
  <c r="G94" i="86"/>
  <c r="J69" i="47"/>
  <c r="F69"/>
  <c r="K69"/>
  <c r="K51"/>
  <c r="J51"/>
  <c r="F51"/>
  <c r="J50"/>
  <c r="F50"/>
  <c r="K50"/>
  <c r="F10" i="26" l="1"/>
  <c r="K98" i="47"/>
  <c r="F98"/>
  <c r="J98"/>
  <c r="F20" i="26"/>
  <c r="F44" i="67"/>
  <c r="D44" s="1"/>
  <c r="F23" i="26"/>
  <c r="J8" i="47"/>
  <c r="K8"/>
  <c r="F8"/>
  <c r="F9" i="26" l="1"/>
  <c r="F34" s="1"/>
  <c r="F8" l="1"/>
  <c r="E8" s="1"/>
</calcChain>
</file>

<file path=xl/comments1.xml><?xml version="1.0" encoding="utf-8"?>
<comments xmlns="http://schemas.openxmlformats.org/spreadsheetml/2006/main">
  <authors>
    <author>000618</author>
  </authors>
  <commentList>
    <comment ref="C13"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C17" authorId="0">
      <text>
        <r>
          <rPr>
            <b/>
            <sz val="9"/>
            <color indexed="81"/>
            <rFont val="Tahoma"/>
            <family val="2"/>
          </rPr>
          <t>000618:</t>
        </r>
        <r>
          <rPr>
            <sz val="9"/>
            <color indexed="81"/>
            <rFont val="Tahoma"/>
            <family val="2"/>
          </rPr>
          <t xml:space="preserve">
107</t>
        </r>
        <r>
          <rPr>
            <sz val="9"/>
            <color indexed="81"/>
            <rFont val="細明體"/>
            <family val="3"/>
            <charset val="136"/>
          </rPr>
          <t>決、108預平均</t>
        </r>
      </text>
    </comment>
    <comment ref="D17" authorId="0">
      <text>
        <r>
          <rPr>
            <b/>
            <sz val="9"/>
            <color indexed="81"/>
            <rFont val="Tahoma"/>
            <family val="2"/>
          </rPr>
          <t>000618:</t>
        </r>
        <r>
          <rPr>
            <sz val="9"/>
            <color indexed="81"/>
            <rFont val="Tahoma"/>
            <family val="2"/>
          </rPr>
          <t xml:space="preserve">
107</t>
        </r>
        <r>
          <rPr>
            <sz val="9"/>
            <color indexed="81"/>
            <rFont val="細明體"/>
            <family val="3"/>
            <charset val="136"/>
          </rPr>
          <t>決+</t>
        </r>
        <r>
          <rPr>
            <sz val="9"/>
            <color indexed="81"/>
            <rFont val="Tahoma"/>
            <family val="2"/>
          </rPr>
          <t>108</t>
        </r>
        <r>
          <rPr>
            <sz val="9"/>
            <color indexed="81"/>
            <rFont val="細明體"/>
            <family val="3"/>
            <charset val="136"/>
          </rPr>
          <t>預算案增減數</t>
        </r>
      </text>
    </comment>
    <comment ref="D24" authorId="0">
      <text>
        <r>
          <rPr>
            <b/>
            <sz val="9"/>
            <color indexed="81"/>
            <rFont val="Tahoma"/>
            <family val="2"/>
          </rPr>
          <t>000618:</t>
        </r>
        <r>
          <rPr>
            <sz val="9"/>
            <color indexed="81"/>
            <rFont val="Tahoma"/>
            <family val="2"/>
          </rPr>
          <t xml:space="preserve">
107/3</t>
        </r>
        <r>
          <rPr>
            <sz val="9"/>
            <color indexed="81"/>
            <rFont val="細明體"/>
            <family val="3"/>
            <charset val="136"/>
          </rPr>
          <t>累折+假設每月折舊數40千元估計至年底累折-預計報廢48千元(9059千元-9011千元)</t>
        </r>
      </text>
    </comment>
    <comment ref="E24" authorId="0">
      <text>
        <r>
          <rPr>
            <b/>
            <sz val="9"/>
            <color indexed="81"/>
            <rFont val="Tahoma"/>
            <family val="2"/>
          </rPr>
          <t>000618:</t>
        </r>
        <r>
          <rPr>
            <sz val="9"/>
            <color indexed="81"/>
            <rFont val="Tahoma"/>
            <family val="2"/>
          </rPr>
          <t xml:space="preserve">
</t>
        </r>
        <r>
          <rPr>
            <sz val="9"/>
            <color indexed="81"/>
            <rFont val="細明體"/>
            <family val="3"/>
            <charset val="136"/>
          </rPr>
          <t>依</t>
        </r>
        <r>
          <rPr>
            <sz val="9"/>
            <color indexed="81"/>
            <rFont val="Tahoma"/>
            <family val="2"/>
          </rPr>
          <t>108/3</t>
        </r>
        <r>
          <rPr>
            <sz val="9"/>
            <color indexed="81"/>
            <rFont val="細明體"/>
            <family val="3"/>
            <charset val="136"/>
          </rPr>
          <t>折舊費用估算</t>
        </r>
      </text>
    </comment>
    <comment ref="C41" authorId="0">
      <text>
        <r>
          <rPr>
            <b/>
            <sz val="9"/>
            <color indexed="81"/>
            <rFont val="Tahoma"/>
            <family val="2"/>
          </rPr>
          <t>000618:</t>
        </r>
        <r>
          <rPr>
            <sz val="9"/>
            <color indexed="81"/>
            <rFont val="Tahoma"/>
            <family val="2"/>
          </rPr>
          <t xml:space="preserve">
107</t>
        </r>
        <r>
          <rPr>
            <sz val="9"/>
            <color indexed="81"/>
            <rFont val="細明體"/>
            <family val="3"/>
            <charset val="136"/>
          </rPr>
          <t>決、</t>
        </r>
        <r>
          <rPr>
            <sz val="9"/>
            <color indexed="81"/>
            <rFont val="Tahoma"/>
            <family val="2"/>
          </rPr>
          <t>108</t>
        </r>
        <r>
          <rPr>
            <sz val="9"/>
            <color indexed="81"/>
            <rFont val="細明體"/>
            <family val="3"/>
            <charset val="136"/>
          </rPr>
          <t>預平均</t>
        </r>
      </text>
    </comment>
    <comment ref="D41" authorId="0">
      <text>
        <r>
          <rPr>
            <b/>
            <sz val="9"/>
            <color indexed="81"/>
            <rFont val="Tahoma"/>
            <family val="2"/>
          </rPr>
          <t>000618:</t>
        </r>
        <r>
          <rPr>
            <sz val="9"/>
            <color indexed="81"/>
            <rFont val="Tahoma"/>
            <family val="2"/>
          </rPr>
          <t xml:space="preserve">
108</t>
        </r>
        <r>
          <rPr>
            <sz val="9"/>
            <color indexed="81"/>
            <rFont val="細明體"/>
            <family val="3"/>
            <charset val="136"/>
          </rPr>
          <t>預</t>
        </r>
      </text>
    </comment>
  </commentList>
</comments>
</file>

<file path=xl/comments2.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comments3.xml><?xml version="1.0" encoding="utf-8"?>
<comments xmlns="http://schemas.openxmlformats.org/spreadsheetml/2006/main">
  <authors>
    <author>000618</author>
  </authors>
  <commentList>
    <comment ref="J54" authorId="0">
      <text>
        <r>
          <rPr>
            <b/>
            <sz val="9"/>
            <color indexed="81"/>
            <rFont val="Tahoma"/>
            <family val="2"/>
          </rPr>
          <t>000618:</t>
        </r>
        <r>
          <rPr>
            <sz val="9"/>
            <color indexed="81"/>
            <rFont val="Tahoma"/>
            <family val="2"/>
          </rPr>
          <t xml:space="preserve">
</t>
        </r>
        <r>
          <rPr>
            <sz val="9"/>
            <color indexed="81"/>
            <rFont val="細明體"/>
            <family val="3"/>
            <charset val="136"/>
          </rPr>
          <t>增加手寫電子板400萬元</t>
        </r>
      </text>
    </comment>
    <comment ref="J55" authorId="0">
      <text>
        <r>
          <rPr>
            <b/>
            <sz val="9"/>
            <color indexed="81"/>
            <rFont val="Tahoma"/>
            <family val="2"/>
          </rPr>
          <t>000618:</t>
        </r>
        <r>
          <rPr>
            <sz val="9"/>
            <color indexed="81"/>
            <rFont val="Tahoma"/>
            <family val="2"/>
          </rPr>
          <t xml:space="preserve">
</t>
        </r>
        <r>
          <rPr>
            <sz val="9"/>
            <color indexed="81"/>
            <rFont val="細明體"/>
            <family val="3"/>
            <charset val="136"/>
          </rPr>
          <t>增加手寫電子板</t>
        </r>
        <r>
          <rPr>
            <sz val="9"/>
            <color indexed="81"/>
            <rFont val="Tahoma"/>
            <family val="2"/>
          </rPr>
          <t>400</t>
        </r>
        <r>
          <rPr>
            <sz val="9"/>
            <color indexed="81"/>
            <rFont val="細明體"/>
            <family val="3"/>
            <charset val="136"/>
          </rPr>
          <t>萬元</t>
        </r>
      </text>
    </comment>
  </commentList>
</comments>
</file>

<file path=xl/sharedStrings.xml><?xml version="1.0" encoding="utf-8"?>
<sst xmlns="http://schemas.openxmlformats.org/spreadsheetml/2006/main" count="1506" uniqueCount="1132">
  <si>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</si>
  <si>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</si>
  <si>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</si>
  <si>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</si>
  <si>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</si>
  <si>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</si>
  <si>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</si>
  <si>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</si>
  <si>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</si>
  <si>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</si>
  <si>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</si>
  <si>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</si>
  <si>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</si>
  <si>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</si>
  <si>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</si>
  <si>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</si>
  <si>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</si>
  <si>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</si>
  <si>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</si>
  <si>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</si>
  <si>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</si>
  <si>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</si>
  <si>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</si>
  <si>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</si>
  <si>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</si>
  <si>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</si>
  <si>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</si>
  <si>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</si>
  <si>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</si>
  <si>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</si>
  <si>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</si>
  <si>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</si>
  <si>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</si>
  <si>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</si>
  <si>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</si>
  <si>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</si>
  <si>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</si>
  <si>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</si>
  <si>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</si>
  <si>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</si>
  <si>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</si>
  <si>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</si>
  <si>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</si>
  <si>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</si>
  <si>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</si>
  <si>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</si>
  <si>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</si>
  <si>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</si>
  <si>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</si>
  <si>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</si>
  <si>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</si>
  <si>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</si>
  <si>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</si>
  <si>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</si>
  <si>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</si>
  <si>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</si>
  <si>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4" type="noConversion"/>
  </si>
  <si>
    <t>上年度預算數</t>
    <phoneticPr fontId="14" type="noConversion"/>
  </si>
  <si>
    <t>科　　　　　目</t>
    <phoneticPr fontId="2" type="noConversion"/>
  </si>
  <si>
    <t>分年性項目</t>
    <phoneticPr fontId="14" type="noConversion"/>
  </si>
  <si>
    <t>一次性項目</t>
    <phoneticPr fontId="14"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</si>
  <si>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</si>
  <si>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</si>
  <si>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</si>
  <si>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</si>
  <si>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</si>
  <si>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</si>
  <si>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</si>
  <si>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</si>
  <si>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</si>
  <si>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</si>
  <si>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</si>
  <si>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</si>
  <si>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</si>
  <si>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</si>
  <si>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4" type="noConversion"/>
  </si>
  <si>
    <t>考選業務基金</t>
    <phoneticPr fontId="14"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</si>
  <si>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</si>
  <si>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</si>
  <si>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</si>
  <si>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</si>
  <si>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</si>
  <si>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</si>
  <si>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</si>
  <si>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</si>
  <si>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</si>
  <si>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</si>
  <si>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房屋稅</t>
    <phoneticPr fontId="2" type="noConversion"/>
  </si>
  <si>
    <t>辦理公務人員考試、專門職業及技術人員考試等考試計畫。</t>
    <phoneticPr fontId="8"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</si>
  <si>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</si>
  <si>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</si>
  <si>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</si>
  <si>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</si>
  <si>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</si>
  <si>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</si>
  <si>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</si>
  <si>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</si>
  <si>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</si>
  <si>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</si>
  <si>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</si>
  <si>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</si>
  <si>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</si>
  <si>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</si>
  <si>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</si>
  <si>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</si>
  <si>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</si>
  <si>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</si>
  <si>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</si>
  <si>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</si>
  <si>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</si>
  <si>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</si>
  <si>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</si>
  <si>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</si>
  <si>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</si>
  <si>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</si>
  <si>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</si>
  <si>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</si>
  <si>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</si>
  <si>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</si>
  <si>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</si>
  <si>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</si>
  <si>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</si>
  <si>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</si>
  <si>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</si>
  <si>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</si>
  <si>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</si>
  <si>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4" type="noConversion"/>
  </si>
  <si>
    <t>　一次性項目</t>
    <phoneticPr fontId="14" type="noConversion"/>
  </si>
  <si>
    <t>雜項費用</t>
    <phoneticPr fontId="2" type="noConversion"/>
  </si>
  <si>
    <t>賸餘分配</t>
    <phoneticPr fontId="14"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</si>
  <si>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</si>
  <si>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</si>
  <si>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</si>
  <si>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</si>
  <si>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</si>
  <si>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</si>
  <si>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</si>
  <si>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</si>
  <si>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</si>
  <si>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</si>
  <si>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</si>
  <si>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</si>
  <si>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</si>
  <si>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</si>
  <si>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</si>
  <si>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</si>
  <si>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</si>
  <si>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</si>
  <si>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4" type="noConversion"/>
  </si>
  <si>
    <t>本年度預算數</t>
    <phoneticPr fontId="2" type="noConversion"/>
  </si>
  <si>
    <t xml:space="preserve"> </t>
    <phoneticPr fontId="14" type="noConversion"/>
  </si>
  <si>
    <t>上年度預算數</t>
    <phoneticPr fontId="2" type="noConversion"/>
  </si>
  <si>
    <t>折舊、折耗及攤銷</t>
    <phoneticPr fontId="2" type="noConversion"/>
  </si>
  <si>
    <t>資產折舊明細表</t>
    <phoneticPr fontId="14" type="noConversion"/>
  </si>
  <si>
    <t>機械及設備</t>
    <phoneticPr fontId="14" type="noConversion"/>
  </si>
  <si>
    <t>什項設備</t>
    <phoneticPr fontId="14" type="noConversion"/>
  </si>
  <si>
    <t>%</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</si>
  <si>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</si>
  <si>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</si>
  <si>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</si>
  <si>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</si>
  <si>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</si>
  <si>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</si>
  <si>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</si>
  <si>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</si>
  <si>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備註</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</si>
  <si>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</si>
  <si>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</si>
  <si>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</si>
  <si>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</si>
  <si>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</si>
  <si>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5" type="noConversion"/>
  </si>
  <si>
    <t xml:space="preserve">  無形資產</t>
    <phoneticPr fontId="5" type="noConversion"/>
  </si>
  <si>
    <t xml:space="preserve">    電腦軟體</t>
    <phoneticPr fontId="5"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</si>
  <si>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</si>
  <si>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</si>
  <si>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</si>
  <si>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</si>
  <si>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</si>
  <si>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</si>
  <si>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</si>
  <si>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</si>
  <si>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</si>
  <si>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</si>
  <si>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</si>
  <si>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</si>
  <si>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</si>
  <si>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</si>
  <si>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</si>
  <si>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</si>
  <si>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</si>
  <si>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</si>
  <si>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說  明</t>
  </si>
  <si>
    <t>合         計</t>
  </si>
  <si>
    <t>固定資產建設改良擴充明細表</t>
    <phoneticPr fontId="14" type="noConversion"/>
  </si>
  <si>
    <t>科目名稱</t>
  </si>
  <si>
    <t>項目名稱</t>
  </si>
  <si>
    <t>投資總額</t>
  </si>
  <si>
    <t>分年預算數</t>
  </si>
  <si>
    <t>本年度</t>
  </si>
  <si>
    <t>固定資產建設改良擴充資金來源明細表</t>
  </si>
  <si>
    <t>項　　　　　目</t>
  </si>
  <si>
    <t>自　　　　有　　　　資　　　　金</t>
  </si>
  <si>
    <t>合　　　計</t>
  </si>
  <si>
    <t>小　　　計</t>
  </si>
  <si>
    <t>％</t>
  </si>
  <si>
    <t>營運
資金</t>
    <phoneticPr fontId="14" type="noConversion"/>
  </si>
  <si>
    <t>金額</t>
    <phoneticPr fontId="14" type="noConversion"/>
  </si>
  <si>
    <t>其他</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</si>
  <si>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</si>
  <si>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目標能量</t>
  </si>
  <si>
    <t>截至本年度累計數</t>
  </si>
  <si>
    <t>計畫％</t>
  </si>
  <si>
    <t>外借
資金</t>
    <phoneticPr fontId="14" type="noConversion"/>
  </si>
  <si>
    <t>國庫
撥款</t>
    <phoneticPr fontId="14" type="noConversion"/>
  </si>
  <si>
    <t>　分年性項目</t>
    <phoneticPr fontId="14" type="noConversion"/>
  </si>
  <si>
    <t>勞務成本</t>
    <phoneticPr fontId="2" type="noConversion"/>
  </si>
  <si>
    <t>期  間</t>
  </si>
  <si>
    <t xml:space="preserve">  用品消耗</t>
    <phoneticPr fontId="2" type="noConversion"/>
  </si>
  <si>
    <t>租金與利息</t>
    <phoneticPr fontId="2" type="noConversion"/>
  </si>
  <si>
    <t>考選部</t>
    <phoneticPr fontId="14" type="noConversion"/>
  </si>
  <si>
    <t>考選部</t>
    <phoneticPr fontId="14" type="noConversion"/>
  </si>
  <si>
    <t>考選業務基金</t>
    <phoneticPr fontId="14" type="noConversion"/>
  </si>
  <si>
    <t>單位:新台幣千元</t>
    <phoneticPr fontId="14" type="noConversion"/>
  </si>
  <si>
    <t>項目</t>
    <phoneticPr fontId="14" type="noConversion"/>
  </si>
  <si>
    <t>本年度預算數</t>
    <phoneticPr fontId="14" type="noConversion"/>
  </si>
  <si>
    <t>說      明</t>
    <phoneticPr fontId="14" type="noConversion"/>
  </si>
  <si>
    <t>單位</t>
    <phoneticPr fontId="14" type="noConversion"/>
  </si>
  <si>
    <t>數量</t>
    <phoneticPr fontId="14" type="noConversion"/>
  </si>
  <si>
    <t>單價</t>
    <phoneticPr fontId="14" type="noConversion"/>
  </si>
  <si>
    <t>單項總價</t>
    <phoneticPr fontId="14" type="noConversion"/>
  </si>
  <si>
    <t>機械及設備</t>
    <phoneticPr fontId="14" type="noConversion"/>
  </si>
  <si>
    <t>式</t>
    <phoneticPr fontId="14" type="noConversion"/>
  </si>
  <si>
    <t>合計</t>
    <phoneticPr fontId="14" type="noConversion"/>
  </si>
  <si>
    <t>考選部</t>
    <phoneticPr fontId="2" type="noConversion"/>
  </si>
  <si>
    <t>考選業務基金</t>
    <phoneticPr fontId="2" type="noConversion"/>
  </si>
  <si>
    <t>單位：新臺幣千元</t>
    <phoneticPr fontId="2" type="noConversion"/>
  </si>
  <si>
    <t>單位：新臺幣千元</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</si>
  <si>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</si>
  <si>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</si>
  <si>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</si>
  <si>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</si>
  <si>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</si>
  <si>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</si>
  <si>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</si>
  <si>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</si>
  <si>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占全部
計畫％</t>
    <phoneticPr fontId="14" type="noConversion"/>
  </si>
  <si>
    <r>
      <t>出售不適</t>
    </r>
    <r>
      <rPr>
        <sz val="12"/>
        <color indexed="8"/>
        <rFont val="標楷體"/>
        <family val="4"/>
        <charset val="136"/>
      </rPr>
      <t>用資產</t>
    </r>
    <phoneticPr fontId="14" type="noConversion"/>
  </si>
  <si>
    <t>業務計畫及預算說明</t>
    <phoneticPr fontId="14"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</si>
  <si>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</si>
  <si>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</si>
  <si>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</si>
  <si>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4"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</si>
  <si>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4" type="noConversion"/>
  </si>
  <si>
    <t>交通及運輸設備</t>
    <phoneticPr fontId="2" type="noConversion"/>
  </si>
  <si>
    <r>
      <t>合</t>
    </r>
    <r>
      <rPr>
        <sz val="12"/>
        <rFont val="Times New Roman"/>
        <family val="1"/>
      </rPr>
      <t xml:space="preserve">          </t>
    </r>
    <r>
      <rPr>
        <sz val="12"/>
        <rFont val="標楷體"/>
        <family val="4"/>
        <charset val="136"/>
      </rPr>
      <t>計</t>
    </r>
    <phoneticPr fontId="14" type="noConversion"/>
  </si>
  <si>
    <t>合     計</t>
    <phoneticPr fontId="2" type="noConversion"/>
  </si>
  <si>
    <t>收入</t>
    <phoneticPr fontId="2" type="noConversion"/>
  </si>
  <si>
    <t>成本與費用及賸餘</t>
    <phoneticPr fontId="2" type="noConversion"/>
  </si>
  <si>
    <t>收入</t>
    <phoneticPr fontId="14" type="noConversion"/>
  </si>
  <si>
    <t>成本與費用及賸餘</t>
    <phoneticPr fontId="14" type="noConversion"/>
  </si>
  <si>
    <t xml:space="preserve">業務收入  </t>
    <phoneticPr fontId="14" type="noConversion"/>
  </si>
  <si>
    <t>業務成本與費用</t>
    <phoneticPr fontId="14" type="noConversion"/>
  </si>
  <si>
    <r>
      <t xml:space="preserve">  </t>
    </r>
    <r>
      <rPr>
        <sz val="12"/>
        <color indexed="8"/>
        <rFont val="標楷體"/>
        <family val="4"/>
        <charset val="136"/>
      </rPr>
      <t xml:space="preserve"> 勞務收入</t>
    </r>
    <phoneticPr fontId="14" type="noConversion"/>
  </si>
  <si>
    <r>
      <t xml:space="preserve">  </t>
    </r>
    <r>
      <rPr>
        <sz val="12"/>
        <color indexed="8"/>
        <rFont val="標楷體"/>
        <family val="4"/>
        <charset val="136"/>
      </rPr>
      <t xml:space="preserve"> 勞務成本</t>
    </r>
    <phoneticPr fontId="14" type="noConversion"/>
  </si>
  <si>
    <t xml:space="preserve">業務外收入  </t>
    <phoneticPr fontId="14" type="noConversion"/>
  </si>
  <si>
    <t>本期賸餘</t>
    <phoneticPr fontId="14"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</si>
  <si>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</si>
  <si>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</si>
  <si>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</si>
  <si>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</si>
  <si>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</si>
  <si>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</si>
  <si>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4"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</si>
  <si>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</si>
  <si>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</si>
  <si>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</si>
  <si>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</si>
  <si>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</si>
  <si>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</si>
  <si>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</si>
  <si>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</si>
  <si>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</si>
  <si>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</si>
  <si>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</si>
  <si>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用品消耗</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</si>
  <si>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</si>
  <si>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</si>
  <si>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交通及運輸設備租金</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</si>
  <si>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</si>
  <si>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</si>
  <si>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</si>
  <si>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房租</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</si>
  <si>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</si>
  <si>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</si>
  <si>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</si>
  <si>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</si>
  <si>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</si>
  <si>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</si>
  <si>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4"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</si>
  <si>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</si>
  <si>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</si>
  <si>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</si>
  <si>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</si>
  <si>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</si>
  <si>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</si>
  <si>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</si>
  <si>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填補之部</t>
  </si>
  <si>
    <t>　撥用賸餘</t>
  </si>
  <si>
    <t>　撥用公積</t>
  </si>
  <si>
    <t>　折減基金</t>
  </si>
  <si>
    <t xml:space="preserve">    流動資產淨減(淨增-)</t>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</si>
  <si>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</si>
  <si>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</si>
  <si>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</si>
  <si>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</si>
  <si>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</si>
  <si>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</si>
  <si>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</si>
  <si>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</si>
  <si>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</si>
  <si>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</si>
  <si>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</si>
  <si>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</si>
  <si>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其他依法分配數</t>
    <phoneticPr fontId="2" type="noConversion"/>
  </si>
  <si>
    <t>業務活動之現金流量</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</si>
  <si>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</si>
  <si>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</si>
  <si>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</si>
  <si>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</si>
  <si>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</si>
  <si>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</si>
  <si>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</si>
  <si>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</si>
  <si>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</si>
  <si>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</si>
  <si>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</si>
  <si>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</si>
  <si>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</si>
  <si>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</si>
  <si>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</si>
  <si>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</si>
  <si>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</si>
  <si>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</si>
  <si>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</si>
  <si>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</si>
  <si>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</si>
  <si>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</si>
  <si>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</si>
  <si>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</si>
  <si>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</si>
  <si>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</si>
  <si>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</si>
  <si>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</si>
  <si>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</si>
  <si>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8" type="noConversion"/>
  </si>
  <si>
    <t>考選業務基金</t>
    <phoneticPr fontId="8" type="noConversion"/>
  </si>
  <si>
    <t>5年來主要營運項目分析表</t>
    <phoneticPr fontId="2" type="noConversion"/>
  </si>
  <si>
    <r>
      <t>說</t>
    </r>
    <r>
      <rPr>
        <sz val="12"/>
        <rFont val="標楷體"/>
        <family val="4"/>
        <charset val="136"/>
      </rPr>
      <t>明</t>
    </r>
    <phoneticPr fontId="14" type="noConversion"/>
  </si>
  <si>
    <t>單位︰新臺幣千元</t>
    <phoneticPr fontId="14" type="noConversion"/>
  </si>
  <si>
    <t>以前年度
預算數</t>
    <phoneticPr fontId="14" type="noConversion"/>
  </si>
  <si>
    <t>本期賸餘</t>
    <phoneticPr fontId="2" type="noConversion"/>
  </si>
  <si>
    <t>單位成本(元)</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</si>
  <si>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</si>
  <si>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附</t>
    </r>
    <r>
      <rPr>
        <b/>
        <sz val="36"/>
        <rFont val="Times New Roman"/>
        <family val="1"/>
      </rPr>
      <t xml:space="preserve">          </t>
    </r>
    <r>
      <rPr>
        <b/>
        <sz val="36"/>
        <rFont val="標楷體"/>
        <family val="4"/>
        <charset val="136"/>
      </rPr>
      <t>錄</t>
    </r>
    <phoneticPr fontId="14"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</si>
  <si>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</si>
  <si>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4" type="noConversion"/>
  </si>
  <si>
    <t>國外
借款</t>
    <phoneticPr fontId="14" type="noConversion"/>
  </si>
  <si>
    <t>金額</t>
    <phoneticPr fontId="14" type="noConversion"/>
  </si>
  <si>
    <t>小　計</t>
    <phoneticPr fontId="14" type="noConversion"/>
  </si>
  <si>
    <r>
      <t xml:space="preserve">    </t>
    </r>
    <r>
      <rPr>
        <sz val="12"/>
        <color indexed="8"/>
        <rFont val="標楷體"/>
        <family val="4"/>
        <charset val="136"/>
      </rPr>
      <t>一次性項目</t>
    </r>
    <phoneticPr fontId="14" type="noConversion"/>
  </si>
  <si>
    <t xml:space="preserve">    </t>
    <phoneticPr fontId="14" type="noConversion"/>
  </si>
  <si>
    <t>中華民國</t>
    <phoneticPr fontId="14" type="noConversion"/>
  </si>
  <si>
    <r>
      <t>固定資產建設改良擴充</t>
    </r>
    <r>
      <rPr>
        <b/>
        <sz val="16"/>
        <color indexed="8"/>
        <rFont val="Times New Roman"/>
        <family val="1"/>
      </rPr>
      <t/>
    </r>
    <phoneticPr fontId="14" type="noConversion"/>
  </si>
  <si>
    <r>
      <t>考選業</t>
    </r>
    <r>
      <rPr>
        <u/>
        <sz val="16"/>
        <color indexed="8"/>
        <rFont val="Times New Roman"/>
        <family val="1"/>
      </rPr>
      <t/>
    </r>
    <phoneticPr fontId="14" type="noConversion"/>
  </si>
  <si>
    <r>
      <t>考選</t>
    </r>
    <r>
      <rPr>
        <u/>
        <sz val="18"/>
        <color indexed="8"/>
        <rFont val="Times New Roman"/>
        <family val="1"/>
      </rPr>
      <t/>
    </r>
    <phoneticPr fontId="14" type="noConversion"/>
  </si>
  <si>
    <t>部</t>
    <phoneticPr fontId="14" type="noConversion"/>
  </si>
  <si>
    <t>務基金</t>
    <phoneticPr fontId="14" type="noConversion"/>
  </si>
  <si>
    <t>計畫預期進度明細表</t>
    <phoneticPr fontId="14"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</si>
  <si>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4"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</si>
  <si>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</si>
  <si>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</si>
  <si>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</si>
  <si>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</si>
  <si>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</si>
  <si>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</si>
  <si>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</si>
  <si>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</si>
  <si>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</si>
  <si>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</si>
  <si>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</si>
  <si>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</si>
  <si>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</si>
  <si>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</si>
  <si>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</si>
  <si>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</si>
  <si>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</si>
  <si>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其他業務成本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</si>
  <si>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</si>
  <si>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</si>
  <si>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</si>
  <si>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</si>
  <si>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</si>
  <si>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</si>
  <si>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</si>
  <si>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t>外　借　資　金</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</si>
  <si>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</si>
  <si>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</si>
  <si>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</si>
  <si>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前年度決算資產原值</t>
    <phoneticPr fontId="14" type="noConversion"/>
  </si>
  <si>
    <t>資產重估增值額</t>
    <phoneticPr fontId="14" type="noConversion"/>
  </si>
  <si>
    <t>本年度(12月底)止資產總額</t>
    <phoneticPr fontId="14" type="noConversion"/>
  </si>
  <si>
    <t>折舊方法</t>
    <phoneticPr fontId="14" type="noConversion"/>
  </si>
  <si>
    <t>折舊率</t>
    <phoneticPr fontId="14" type="noConversion"/>
  </si>
  <si>
    <t>本年度應提折舊額</t>
    <phoneticPr fontId="14" type="noConversion"/>
  </si>
  <si>
    <r>
      <t xml:space="preserve">    </t>
    </r>
    <r>
      <rPr>
        <sz val="12"/>
        <rFont val="標楷體"/>
        <family val="4"/>
        <charset val="136"/>
      </rPr>
      <t>勞務成本</t>
    </r>
    <phoneticPr fontId="14" type="noConversion"/>
  </si>
  <si>
    <t>直　線　法</t>
    <phoneticPr fontId="14" type="noConversion"/>
  </si>
  <si>
    <t>合  計</t>
    <phoneticPr fontId="14" type="noConversion"/>
  </si>
  <si>
    <t>資　　產</t>
    <phoneticPr fontId="2" type="noConversion"/>
  </si>
  <si>
    <t>負　　債</t>
    <phoneticPr fontId="2" type="noConversion"/>
  </si>
  <si>
    <t>收入</t>
  </si>
  <si>
    <t>收入合計</t>
  </si>
  <si>
    <t>以後
年度</t>
    <phoneticPr fontId="14" type="noConversion"/>
  </si>
  <si>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</si>
  <si>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</si>
  <si>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t>收入總額</t>
    <phoneticPr fontId="14" type="noConversion"/>
  </si>
  <si>
    <t>成本、費用及賸餘總額</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</si>
  <si>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</si>
  <si>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淨　　值</t>
    <phoneticPr fontId="2" type="noConversion"/>
  </si>
  <si>
    <t>資產合計</t>
    <phoneticPr fontId="2" type="noConversion"/>
  </si>
  <si>
    <t>考選部</t>
    <phoneticPr fontId="2" type="noConversion"/>
  </si>
  <si>
    <t>勞務收入明細表</t>
    <phoneticPr fontId="2" type="noConversion"/>
  </si>
  <si>
    <t>考選部</t>
    <phoneticPr fontId="14" type="noConversion"/>
  </si>
  <si>
    <t>其他</t>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</si>
  <si>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</si>
  <si>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修理保養及保固費</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</si>
  <si>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</si>
  <si>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</si>
  <si>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</si>
  <si>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</si>
  <si>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</si>
  <si>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</si>
  <si>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</si>
  <si>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</si>
  <si>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</si>
  <si>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</si>
  <si>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</si>
  <si>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</si>
  <si>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</si>
  <si>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</si>
  <si>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</si>
  <si>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</si>
  <si>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</si>
  <si>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</si>
  <si>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</si>
  <si>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</si>
  <si>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</si>
  <si>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</si>
  <si>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</si>
  <si>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</si>
  <si>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</si>
  <si>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</si>
  <si>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移列公務爭取額度外900</t>
    <phoneticPr fontId="2" type="noConversion"/>
  </si>
  <si>
    <r>
      <t>汰換</t>
    </r>
    <r>
      <rPr>
        <sz val="11"/>
        <rFont val="Times New Roman"/>
        <family val="1"/>
      </rPr>
      <t/>
    </r>
    <phoneticPr fontId="14" type="noConversion"/>
  </si>
  <si>
    <t>前年度決算數</t>
    <phoneticPr fontId="14" type="noConversion"/>
  </si>
  <si>
    <t>一般建築及設備計畫之分年性項目明細表</t>
    <phoneticPr fontId="14" type="noConversion"/>
  </si>
  <si>
    <t>考選部</t>
    <phoneticPr fontId="14" type="noConversion"/>
  </si>
  <si>
    <t>考選業務基金</t>
    <phoneticPr fontId="14" type="noConversion"/>
  </si>
  <si>
    <t>資產折舊明細表</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</si>
  <si>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</si>
  <si>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</si>
  <si>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</si>
  <si>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機械及設備</t>
    <phoneticPr fontId="14" type="noConversion"/>
  </si>
  <si>
    <t>合計</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</si>
  <si>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</si>
  <si>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</si>
  <si>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</si>
  <si>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</si>
  <si>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</si>
  <si>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</si>
  <si>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直　線　法</t>
    <phoneticPr fontId="14" type="noConversion"/>
  </si>
  <si>
    <t>折舊率</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</si>
  <si>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</si>
  <si>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本年度應提折舊額</t>
    <phoneticPr fontId="14" type="noConversion"/>
  </si>
  <si>
    <r>
      <t xml:space="preserve">    </t>
    </r>
    <r>
      <rPr>
        <sz val="12"/>
        <rFont val="標楷體"/>
        <family val="4"/>
        <charset val="136"/>
      </rPr>
      <t>勞務成本</t>
    </r>
    <phoneticPr fontId="14" type="noConversion"/>
  </si>
  <si>
    <t>考選部</t>
    <phoneticPr fontId="14" type="noConversion"/>
  </si>
  <si>
    <t>考選業務基金</t>
    <phoneticPr fontId="14"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</si>
  <si>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</si>
  <si>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</si>
  <si>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</si>
  <si>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</si>
  <si>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</si>
  <si>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</si>
  <si>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</si>
  <si>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5" type="noConversion"/>
  </si>
  <si>
    <t>減:累計折舊-機械及設
　　備</t>
    <phoneticPr fontId="5" type="noConversion"/>
  </si>
  <si>
    <t>什項設備</t>
    <phoneticPr fontId="2" type="noConversion"/>
  </si>
  <si>
    <t xml:space="preserve">    減:累計折舊-什項設備</t>
    <phoneticPr fontId="2" type="noConversion"/>
  </si>
  <si>
    <t>其他資產</t>
    <phoneticPr fontId="5" type="noConversion"/>
  </si>
  <si>
    <t xml:space="preserve">  什項資產</t>
    <phoneticPr fontId="5" type="noConversion"/>
  </si>
  <si>
    <t xml:space="preserve">    存出保證金</t>
    <phoneticPr fontId="5"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</si>
  <si>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</si>
  <si>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</si>
  <si>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</si>
  <si>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</si>
  <si>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</si>
  <si>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</si>
  <si>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</si>
  <si>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</si>
  <si>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</si>
  <si>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</si>
  <si>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</si>
  <si>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</si>
  <si>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</si>
  <si>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</si>
  <si>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單位成本(元)</t>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</si>
  <si>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</si>
  <si>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r>
      <t>說</t>
    </r>
    <r>
      <rPr>
        <sz val="12"/>
        <rFont val="標楷體"/>
        <family val="4"/>
        <charset val="136"/>
      </rPr>
      <t>明</t>
    </r>
    <phoneticPr fontId="14" type="noConversion"/>
  </si>
  <si>
    <t>前年度決算數</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</si>
  <si>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</si>
  <si>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</si>
  <si>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</si>
  <si>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</si>
  <si>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</si>
  <si>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</si>
  <si>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</si>
  <si>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</si>
  <si>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</si>
  <si>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資　　產</t>
    <phoneticPr fontId="2" type="noConversion"/>
  </si>
  <si>
    <t>流動負債</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</si>
  <si>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</si>
  <si>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</si>
  <si>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</si>
  <si>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</si>
  <si>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</si>
  <si>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</si>
  <si>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</si>
  <si>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</si>
  <si>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</si>
  <si>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</si>
  <si>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</si>
  <si>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</si>
  <si>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</si>
  <si>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</si>
  <si>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</si>
  <si>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</si>
  <si>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</si>
  <si>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</si>
  <si>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</si>
  <si>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</si>
  <si>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</si>
  <si>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</si>
  <si>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5" type="noConversion"/>
  </si>
  <si>
    <t>累積餘(+)絀(-)</t>
    <phoneticPr fontId="2" type="noConversion"/>
  </si>
  <si>
    <t xml:space="preserve">  無形資產</t>
    <phoneticPr fontId="5" type="noConversion"/>
  </si>
  <si>
    <t xml:space="preserve">    電腦軟體</t>
    <phoneticPr fontId="5" type="noConversion"/>
  </si>
  <si>
    <t>其他資產</t>
    <phoneticPr fontId="5" type="noConversion"/>
  </si>
  <si>
    <t xml:space="preserve">  什項資產</t>
    <phoneticPr fontId="5" type="noConversion"/>
  </si>
  <si>
    <t xml:space="preserve">    存出保證金</t>
    <phoneticPr fontId="5"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</si>
  <si>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</si>
  <si>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</si>
  <si>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</si>
  <si>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</si>
  <si>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</si>
  <si>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</si>
  <si>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</si>
  <si>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</si>
  <si>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</si>
  <si>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</si>
  <si>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</si>
  <si>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</si>
  <si>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</si>
  <si>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</si>
  <si>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</si>
  <si>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</si>
  <si>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</si>
  <si>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</si>
  <si>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</si>
  <si>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</si>
  <si>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</si>
  <si>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一般建築及設備計畫之分年性項目明細表</t>
    <phoneticPr fontId="14" type="noConversion"/>
  </si>
  <si>
    <t>單位︰新臺幣千元</t>
    <phoneticPr fontId="14" type="noConversion"/>
  </si>
  <si>
    <t>以前年度
預算數</t>
    <phoneticPr fontId="14"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</si>
  <si>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</si>
  <si>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</si>
  <si>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</si>
  <si>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</si>
  <si>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1.勞務收入明細表．．．．．．．．．．．．．．．．．．．．．．．．．．．．．．．</t>
    <phoneticPr fontId="2" type="noConversion"/>
  </si>
  <si>
    <t>（三）參考表</t>
    <phoneticPr fontId="2" type="noConversion"/>
  </si>
  <si>
    <t>（四）附錄</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</si>
  <si>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</si>
  <si>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</si>
  <si>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</si>
  <si>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</si>
  <si>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</si>
  <si>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</si>
  <si>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</si>
  <si>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</si>
  <si>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</si>
  <si>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</si>
  <si>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</si>
  <si>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</si>
  <si>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</si>
  <si>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</si>
  <si>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5" type="noConversion"/>
  </si>
  <si>
    <t>　　機械及設備</t>
    <phoneticPr fontId="5"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</si>
  <si>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</si>
  <si>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4"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</si>
  <si>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</si>
  <si>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</si>
  <si>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</si>
  <si>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</si>
  <si>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</si>
  <si>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</si>
  <si>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</si>
  <si>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4" type="noConversion"/>
  </si>
  <si>
    <t>合      計</t>
    <phoneticPr fontId="2" type="noConversion"/>
  </si>
  <si>
    <t>合　　　   計</t>
    <phoneticPr fontId="14"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</si>
  <si>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</si>
  <si>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</si>
  <si>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</si>
  <si>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</si>
  <si>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4"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</si>
  <si>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</si>
  <si>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</si>
  <si>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</si>
  <si>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</si>
  <si>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</si>
  <si>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 xml:space="preserve">   1.預計平衡表．．．．．．．．．．．．．．．．．．．．．．．．．．．．．．．．．．．．．</t>
    <phoneticPr fontId="2" type="noConversion"/>
  </si>
  <si>
    <t xml:space="preserve">   1.立法院審議中央政府總預算案附屬單位預算所提決議及附帶決議</t>
    <phoneticPr fontId="2" type="noConversion"/>
  </si>
  <si>
    <t>固定資產明細表</t>
    <phoneticPr fontId="14" type="noConversion"/>
  </si>
  <si>
    <t>單位：新臺幣千元</t>
    <phoneticPr fontId="3" type="noConversion"/>
  </si>
  <si>
    <t xml:space="preserve">  項目         年度</t>
    <phoneticPr fontId="14" type="noConversion"/>
  </si>
  <si>
    <t xml:space="preserve"> 項目           年度</t>
    <phoneticPr fontId="14"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</si>
  <si>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</si>
  <si>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</si>
  <si>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</si>
  <si>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</si>
  <si>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</si>
  <si>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</si>
  <si>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</si>
  <si>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</si>
  <si>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</si>
  <si>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</si>
  <si>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</si>
  <si>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</si>
  <si>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</si>
  <si>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5" type="noConversion"/>
  </si>
  <si>
    <t>　什項設備</t>
    <phoneticPr fontId="2" type="noConversion"/>
  </si>
  <si>
    <t>　　什項設備</t>
    <phoneticPr fontId="2" type="noConversion"/>
  </si>
  <si>
    <t>減:累計折舊-交通及運
　　輸設備</t>
    <phoneticPr fontId="5" type="noConversion"/>
  </si>
  <si>
    <t>　　減:累計折舊-機械及設
　　 　 備</t>
    <phoneticPr fontId="5" type="noConversion"/>
  </si>
  <si>
    <t>　　減:累計折舊-交通及運
　　    輸設備</t>
    <phoneticPr fontId="5"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</si>
  <si>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</si>
  <si>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</si>
  <si>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</si>
  <si>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</si>
  <si>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</si>
  <si>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</si>
  <si>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</si>
  <si>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</si>
  <si>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</si>
  <si>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r>
      <t>主</t>
    </r>
    <r>
      <rPr>
        <sz val="24"/>
        <rFont val="Times New Roman"/>
        <family val="1"/>
      </rPr>
      <t xml:space="preserve">  </t>
    </r>
    <r>
      <rPr>
        <sz val="24"/>
        <rFont val="標楷體"/>
        <family val="4"/>
        <charset val="136"/>
      </rPr>
      <t>辦</t>
    </r>
    <r>
      <rPr>
        <sz val="24"/>
        <rFont val="Times New Roman"/>
        <family val="1"/>
      </rPr>
      <t xml:space="preserve">  </t>
    </r>
    <r>
      <rPr>
        <sz val="24"/>
        <rFont val="標楷體"/>
        <family val="4"/>
        <charset val="136"/>
      </rPr>
      <t>會</t>
    </r>
    <r>
      <rPr>
        <sz val="24"/>
        <rFont val="Times New Roman"/>
        <family val="1"/>
      </rPr>
      <t xml:space="preserve">  </t>
    </r>
    <r>
      <rPr>
        <sz val="24"/>
        <rFont val="標楷體"/>
        <family val="4"/>
        <charset val="136"/>
      </rPr>
      <t>計</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員：蘇錦源</t>
    </r>
    <phoneticPr fontId="2" type="noConversion"/>
  </si>
  <si>
    <r>
      <t>基</t>
    </r>
    <r>
      <rPr>
        <sz val="24"/>
        <rFont val="Times New Roman"/>
        <family val="1"/>
      </rPr>
      <t xml:space="preserve">   </t>
    </r>
    <r>
      <rPr>
        <sz val="24"/>
        <rFont val="標楷體"/>
        <family val="4"/>
        <charset val="136"/>
      </rPr>
      <t>金</t>
    </r>
    <r>
      <rPr>
        <sz val="24"/>
        <rFont val="Times New Roman"/>
        <family val="1"/>
      </rPr>
      <t xml:space="preserve">   </t>
    </r>
    <r>
      <rPr>
        <sz val="24"/>
        <rFont val="標楷體"/>
        <family val="4"/>
        <charset val="136"/>
      </rPr>
      <t>主</t>
    </r>
    <r>
      <rPr>
        <sz val="24"/>
        <rFont val="Times New Roman"/>
        <family val="1"/>
      </rPr>
      <t xml:space="preserve">   </t>
    </r>
    <r>
      <rPr>
        <sz val="24"/>
        <rFont val="標楷體"/>
        <family val="4"/>
        <charset val="136"/>
      </rPr>
      <t>持</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t>
    </r>
    <r>
      <rPr>
        <sz val="24"/>
        <rFont val="Times New Roman"/>
        <family val="1"/>
      </rPr>
      <t xml:space="preserve"> </t>
    </r>
    <r>
      <rPr>
        <sz val="24"/>
        <rFont val="標楷體"/>
        <family val="4"/>
        <charset val="136"/>
      </rPr>
      <t>董保城</t>
    </r>
    <phoneticPr fontId="2" type="noConversion"/>
  </si>
  <si>
    <t xml:space="preserve">    委託調查研究費</t>
    <phoneticPr fontId="2" type="noConversion"/>
  </si>
  <si>
    <t>業務成本與費用</t>
    <phoneticPr fontId="2" type="noConversion"/>
  </si>
  <si>
    <t>機械
及設備</t>
    <phoneticPr fontId="14" type="noConversion"/>
  </si>
  <si>
    <r>
      <t>土地
改良</t>
    </r>
    <r>
      <rPr>
        <sz val="12"/>
        <rFont val="標楷體"/>
        <family val="4"/>
        <charset val="136"/>
      </rPr>
      <t>物</t>
    </r>
    <phoneticPr fontId="14" type="noConversion"/>
  </si>
  <si>
    <r>
      <t>房屋
及建</t>
    </r>
    <r>
      <rPr>
        <sz val="12"/>
        <rFont val="標楷體"/>
        <family val="4"/>
        <charset val="136"/>
      </rPr>
      <t>築</t>
    </r>
    <phoneticPr fontId="14" type="noConversion"/>
  </si>
  <si>
    <t xml:space="preserve">  辦理各項考試業務</t>
    <phoneticPr fontId="8" type="noConversion"/>
  </si>
  <si>
    <t xml:space="preserve">  辦理各項考試業務</t>
    <phoneticPr fontId="8"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</si>
  <si>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</si>
  <si>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</si>
  <si>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</si>
  <si>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</si>
  <si>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</si>
  <si>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國庫撥款</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</si>
  <si>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</si>
  <si>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 xml:space="preserve">   2.餘絀撥補預計表．．．．．．．．．．．．．．．．．．．．．．</t>
    <phoneticPr fontId="2" type="noConversion"/>
  </si>
  <si>
    <t xml:space="preserve">   3.現金流量預計表．．．．．．．．．．．．．．．．．．．．．．</t>
    <phoneticPr fontId="2" type="noConversion"/>
  </si>
  <si>
    <t>稅捐與規費(強制費)</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</si>
  <si>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</si>
  <si>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</si>
  <si>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</si>
  <si>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</si>
  <si>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辦理公務人員考試、專門職業及技術人員考試等考試計畫。</t>
    <phoneticPr fontId="8" type="noConversion"/>
  </si>
  <si>
    <t>資訊處</t>
    <phoneticPr fontId="14" type="noConversion"/>
  </si>
  <si>
    <t>總務司</t>
    <phoneticPr fontId="14" type="noConversion"/>
  </si>
  <si>
    <t>單位</t>
    <phoneticPr fontId="14"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</si>
  <si>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</si>
  <si>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</si>
  <si>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</si>
  <si>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</si>
  <si>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</si>
  <si>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</si>
  <si>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</si>
  <si>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</si>
  <si>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</si>
  <si>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</si>
  <si>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</si>
  <si>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</si>
  <si>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</si>
  <si>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</si>
  <si>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</si>
  <si>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</si>
  <si>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</si>
  <si>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</si>
  <si>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</si>
  <si>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</si>
  <si>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</si>
  <si>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</si>
  <si>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</si>
  <si>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</si>
  <si>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</si>
  <si>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</si>
  <si>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</si>
  <si>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</si>
  <si>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</si>
  <si>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</si>
  <si>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</si>
  <si>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</si>
  <si>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</si>
  <si>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</si>
  <si>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</si>
  <si>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</si>
  <si>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</si>
  <si>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</si>
  <si>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</si>
  <si>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</si>
  <si>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</si>
  <si>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 xml:space="preserve">   4.用人費用彙計表．．．．．．．．．．．．．．．．．．．．．．</t>
    <phoneticPr fontId="2"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</si>
  <si>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</si>
  <si>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</si>
  <si>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</si>
  <si>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</si>
  <si>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</si>
  <si>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</si>
  <si>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</si>
  <si>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</si>
  <si>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</si>
  <si>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備註：本基金以服務費用支付編制外之進用人力，其內容如下：</t>
    <phoneticPr fontId="14" type="noConversion"/>
  </si>
  <si>
    <t>　　　1.辦理各項考試業務按試務期程所需彈性進退之按日計時臨時人員，預計進用90天以內</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</si>
  <si>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</si>
  <si>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</si>
  <si>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</si>
  <si>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</si>
  <si>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</si>
  <si>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</si>
  <si>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</si>
  <si>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</si>
  <si>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</si>
  <si>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</si>
  <si>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</si>
  <si>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</si>
  <si>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</si>
  <si>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</si>
  <si>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</si>
  <si>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</si>
  <si>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</si>
  <si>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</si>
  <si>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</si>
  <si>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</si>
  <si>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</si>
  <si>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</si>
  <si>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</si>
  <si>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</si>
  <si>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</si>
  <si>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</si>
  <si>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</si>
  <si>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</si>
  <si>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</si>
  <si>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</si>
  <si>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備註：本基金以服務費用支付編制外之進用人力，其內容如下：</t>
    <phoneticPr fontId="14" type="noConversion"/>
  </si>
  <si>
    <t>　　　　定期契約臨時人員420人、90-180天定期契約臨時人員100人及不定期契約臨時人員</t>
    <phoneticPr fontId="14" type="noConversion"/>
  </si>
  <si>
    <t xml:space="preserve"> 中華民國 104 年度</t>
    <phoneticPr fontId="14" type="noConversion"/>
  </si>
  <si>
    <t>台</t>
    <phoneticPr fontId="14" type="noConversion"/>
  </si>
  <si>
    <t>辦理公務人員考試、專門職業及技術人員考試等考試計畫。</t>
    <phoneticPr fontId="8" type="noConversion"/>
  </si>
  <si>
    <t>備註：本基金以服務費用支付編制外之進用人力，其內容如下：</t>
    <phoneticPr fontId="14" type="noConversion"/>
  </si>
  <si>
    <t>一般建築及設備</t>
    <phoneticPr fontId="14" type="noConversion"/>
  </si>
  <si>
    <t>計畫</t>
    <phoneticPr fontId="14" type="noConversion"/>
  </si>
  <si>
    <t>　　　2.清潔外包部分之承攬人力8人。</t>
    <phoneticPr fontId="14" type="noConversion"/>
  </si>
  <si>
    <t>　　　2.清潔外包之勞務承攬3,500千元。</t>
    <phoneticPr fontId="14" type="noConversion"/>
  </si>
  <si>
    <t>中華民國 105 年度</t>
    <phoneticPr fontId="14" type="noConversion"/>
  </si>
  <si>
    <t>國家考場飲水機16台</t>
    <phoneticPr fontId="14" type="noConversion"/>
  </si>
  <si>
    <t>安檢門300</t>
    <phoneticPr fontId="14" type="noConversion"/>
  </si>
  <si>
    <t>彩色彩印機500</t>
    <phoneticPr fontId="14" type="noConversion"/>
  </si>
  <si>
    <t>新增</t>
    <phoneticPr fontId="14" type="noConversion"/>
  </si>
  <si>
    <t>延續</t>
    <phoneticPr fontId="14" type="noConversion"/>
  </si>
  <si>
    <t>其他業務外收入</t>
    <phoneticPr fontId="2" type="noConversion"/>
  </si>
  <si>
    <t>其他業務外收入明細表</t>
    <phoneticPr fontId="2" type="noConversion"/>
  </si>
  <si>
    <t xml:space="preserve">  雜項收入</t>
    <phoneticPr fontId="2" type="noConversion"/>
  </si>
  <si>
    <t>中華民國105</t>
    <phoneticPr fontId="2" type="noConversion"/>
  </si>
  <si>
    <t>中華民國 105 年度</t>
    <phoneticPr fontId="8" type="noConversion"/>
  </si>
  <si>
    <t>103年12月31日
實  際  數</t>
    <phoneticPr fontId="2" type="noConversion"/>
  </si>
  <si>
    <t>公積</t>
    <phoneticPr fontId="2" type="noConversion"/>
  </si>
  <si>
    <t xml:space="preserve">  資本公積</t>
    <phoneticPr fontId="2" type="noConversion"/>
  </si>
  <si>
    <t xml:space="preserve">    受贈公積</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</si>
  <si>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</si>
  <si>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</si>
  <si>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</si>
  <si>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</si>
  <si>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</si>
  <si>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</si>
  <si>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</si>
  <si>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</si>
  <si>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</si>
  <si>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人次</t>
    <phoneticPr fontId="8" type="noConversion"/>
  </si>
  <si>
    <t>本年度預算數</t>
    <phoneticPr fontId="2" type="noConversion"/>
  </si>
  <si>
    <t xml:space="preserve">  規費</t>
    <phoneticPr fontId="2" type="noConversion"/>
  </si>
  <si>
    <t xml:space="preserve">  規費</t>
    <phoneticPr fontId="2" type="noConversion"/>
  </si>
  <si>
    <t>累積餘(+)絀(-)</t>
  </si>
  <si>
    <t>人次</t>
    <phoneticPr fontId="8" type="noConversion"/>
  </si>
  <si>
    <t>人次</t>
    <phoneticPr fontId="8" type="noConversion"/>
  </si>
  <si>
    <t>101年度決算數</t>
    <phoneticPr fontId="14" type="noConversion"/>
  </si>
  <si>
    <t>102年度決算數</t>
    <phoneticPr fontId="14" type="noConversion"/>
  </si>
  <si>
    <t>　　　　90人。</t>
    <phoneticPr fontId="14" type="noConversion"/>
  </si>
  <si>
    <t>中華民國 105 年度</t>
    <phoneticPr fontId="8" type="noConversion"/>
  </si>
  <si>
    <t>105 年度</t>
    <phoneticPr fontId="8" type="noConversion"/>
  </si>
  <si>
    <t>　　　1.辦理各項考試業務所需支付按日計時之臨時人員之工資67,230千元。</t>
    <phoneticPr fontId="14" type="noConversion"/>
  </si>
  <si>
    <t>　　　3.入闈及考試期間委託醫事人員服務之服務費99千元。</t>
    <phoneticPr fontId="14" type="noConversion"/>
  </si>
  <si>
    <t>其他業務收入明細表</t>
    <phoneticPr fontId="2" type="noConversion"/>
  </si>
  <si>
    <t>其他業務收入</t>
    <phoneticPr fontId="2" type="noConversion"/>
  </si>
  <si>
    <t>國家考試遠距線上閱卷建置1,750,000。</t>
    <phoneticPr fontId="14" type="noConversion"/>
  </si>
  <si>
    <t>試務資訊化及網路設備汰換4,500,000。</t>
    <phoneticPr fontId="14" type="noConversion"/>
  </si>
  <si>
    <t>試務場所電腦、筆電、印表機及闈場資訊設備零組件汰換650,000。</t>
    <phoneticPr fontId="14" type="noConversion"/>
  </si>
  <si>
    <t>題庫資訊系統主機汰換2,320,000。</t>
    <phoneticPr fontId="14" type="noConversion"/>
  </si>
  <si>
    <t>電腦化測驗電腦試場建置1,285,000。</t>
    <phoneticPr fontId="14" type="noConversion"/>
  </si>
  <si>
    <t>掃描機500</t>
    <phoneticPr fontId="14" type="noConversion"/>
  </si>
  <si>
    <r>
      <t xml:space="preserve">  </t>
    </r>
    <r>
      <rPr>
        <sz val="12"/>
        <color indexed="8"/>
        <rFont val="標楷體"/>
        <family val="4"/>
        <charset val="136"/>
      </rPr>
      <t xml:space="preserve"> 其他業務收入</t>
    </r>
    <phoneticPr fontId="14" type="noConversion"/>
  </si>
  <si>
    <t>業務外費用</t>
    <phoneticPr fontId="2" type="noConversion"/>
  </si>
  <si>
    <t xml:space="preserve">   勞務收入</t>
    <phoneticPr fontId="14" type="noConversion"/>
  </si>
  <si>
    <r>
      <t xml:space="preserve">    </t>
    </r>
    <r>
      <rPr>
        <sz val="12"/>
        <color indexed="8"/>
        <rFont val="標楷體"/>
        <family val="4"/>
        <charset val="136"/>
      </rPr>
      <t xml:space="preserve"> 其他業務收入</t>
    </r>
    <phoneticPr fontId="14" type="noConversion"/>
  </si>
  <si>
    <t>　　</t>
    <phoneticPr fontId="2" type="noConversion"/>
  </si>
  <si>
    <t>人次</t>
    <phoneticPr fontId="2" type="noConversion"/>
  </si>
  <si>
    <t>人次</t>
    <phoneticPr fontId="2" type="noConversion"/>
  </si>
  <si>
    <t xml:space="preserve">    稅捐與規費(強制費)</t>
    <phoneticPr fontId="2" type="noConversion"/>
  </si>
  <si>
    <t>稅捐與規費(強制費)</t>
    <phoneticPr fontId="2" type="noConversion"/>
  </si>
  <si>
    <t xml:space="preserve">    數據通信費</t>
    <phoneticPr fontId="2" type="noConversion"/>
  </si>
  <si>
    <t>第一試務大樓、第二試務大樓及國家考場機房調系統</t>
    <phoneticPr fontId="14" type="noConversion"/>
  </si>
  <si>
    <t>第一試務闈場裝訂機</t>
    <phoneticPr fontId="14" type="noConversion"/>
  </si>
  <si>
    <t>第三試務機房空調設備</t>
    <phoneticPr fontId="14" type="noConversion"/>
  </si>
  <si>
    <t>第一及第二試務影印複合機</t>
    <phoneticPr fontId="14" type="noConversion"/>
  </si>
  <si>
    <t>總務司</t>
    <phoneticPr fontId="14" type="noConversion"/>
  </si>
  <si>
    <t>第二試務大樓窗型冷氣汰換500</t>
    <phoneticPr fontId="14" type="noConversion"/>
  </si>
  <si>
    <t>台</t>
    <phoneticPr fontId="14" type="noConversion"/>
  </si>
  <si>
    <t>第二試務大樓變頻多聯室外機</t>
    <phoneticPr fontId="14" type="noConversion"/>
  </si>
  <si>
    <t>汰換</t>
    <phoneticPr fontId="14" type="noConversion"/>
  </si>
  <si>
    <t>第一試務闈場速印機</t>
    <phoneticPr fontId="14" type="noConversion"/>
  </si>
  <si>
    <t>第三試務電腦機房掌型機</t>
    <phoneticPr fontId="14" type="noConversion"/>
  </si>
  <si>
    <t>第三試務審題室投影機5台</t>
    <phoneticPr fontId="14" type="noConversion"/>
  </si>
  <si>
    <t>碎紙機2台</t>
    <phoneticPr fontId="14" type="noConversion"/>
  </si>
  <si>
    <t>　　　3.入闈及考試期間委託醫事人員服務24人次。</t>
    <phoneticPr fontId="14" type="noConversion"/>
  </si>
  <si>
    <t>辦理公務人員考試、專門職業及技術人員考試等考試計畫。</t>
    <phoneticPr fontId="8" type="noConversion"/>
  </si>
  <si>
    <t xml:space="preserve">    郵費</t>
    <phoneticPr fontId="2" type="noConversion"/>
  </si>
  <si>
    <t xml:space="preserve">    數據通信費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</si>
  <si>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</si>
  <si>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</si>
  <si>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</si>
  <si>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</si>
  <si>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印刷裝訂與廣告費</t>
    <phoneticPr fontId="2" type="noConversion"/>
  </si>
  <si>
    <t xml:space="preserve">    印刷及裝訂費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</si>
  <si>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</si>
  <si>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</si>
  <si>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</si>
  <si>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</si>
  <si>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</si>
  <si>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</si>
  <si>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</si>
  <si>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</si>
  <si>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</si>
  <si>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</si>
  <si>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一般服務費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</si>
  <si>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</si>
  <si>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</si>
  <si>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</si>
  <si>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資管+101年7500+5650+保全1117</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</si>
  <si>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</si>
  <si>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</si>
  <si>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</si>
  <si>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法律事務費</t>
    <phoneticPr fontId="2" type="noConversion"/>
  </si>
  <si>
    <t xml:space="preserve">    工程及管理諮詢服務費</t>
    <phoneticPr fontId="2" type="noConversion"/>
  </si>
  <si>
    <t xml:space="preserve">    講課鐘點、稿費、出席審查及查詢費</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</si>
  <si>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</si>
  <si>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</si>
  <si>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</si>
  <si>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 xml:space="preserve">    其他</t>
    <phoneticPr fontId="2" type="noConversion"/>
  </si>
  <si>
    <t xml:space="preserve">  公共關係費</t>
    <phoneticPr fontId="2" type="noConversion"/>
  </si>
  <si>
    <t xml:space="preserve">    公共關係費</t>
    <phoneticPr fontId="2" type="noConversion"/>
  </si>
  <si>
    <t>材料及用品費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</si>
  <si>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</si>
  <si>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</si>
  <si>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</si>
  <si>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用品消耗</t>
    <phoneticPr fontId="2" type="noConversion"/>
  </si>
  <si>
    <r>
      <t xml:space="preserve">      </t>
    </r>
    <r>
      <rPr>
        <sz val="11"/>
        <color indexed="8"/>
        <rFont val="標楷體"/>
        <family val="4"/>
        <charset val="136"/>
      </rPr>
      <t xml:space="preserve"> 辦公（事務）用品</t>
    </r>
    <phoneticPr fontId="2" type="noConversion"/>
  </si>
  <si>
    <t xml:space="preserve">    報章什誌</t>
    <phoneticPr fontId="2" type="noConversion"/>
  </si>
  <si>
    <t xml:space="preserve">    食品</t>
    <phoneticPr fontId="2" type="noConversion"/>
  </si>
  <si>
    <t xml:space="preserve">    醫療用品（非醫療院所使用）</t>
    <phoneticPr fontId="2" type="noConversion"/>
  </si>
  <si>
    <t>租金與利息</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</si>
  <si>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</si>
  <si>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</si>
  <si>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</si>
  <si>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</si>
  <si>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</si>
  <si>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</si>
  <si>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</si>
  <si>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</si>
  <si>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</si>
  <si>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</si>
  <si>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</si>
  <si>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</si>
  <si>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</si>
  <si>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</si>
  <si>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</si>
  <si>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</si>
  <si>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稅捐與規費(強制費)</t>
    <phoneticPr fontId="2" type="noConversion"/>
  </si>
  <si>
    <t xml:space="preserve">  房屋稅</t>
    <phoneticPr fontId="2" type="noConversion"/>
  </si>
  <si>
    <t xml:space="preserve">    一般房屋稅</t>
    <phoneticPr fontId="2" type="noConversion"/>
  </si>
  <si>
    <t xml:space="preserve">  消費與行為稅</t>
    <phoneticPr fontId="2" type="noConversion"/>
  </si>
  <si>
    <t xml:space="preserve">    貨物稅</t>
    <phoneticPr fontId="2" type="noConversion"/>
  </si>
  <si>
    <t xml:space="preserve">    印花稅</t>
    <phoneticPr fontId="2" type="noConversion"/>
  </si>
  <si>
    <t xml:space="preserve">  規費</t>
    <phoneticPr fontId="2" type="noConversion"/>
  </si>
  <si>
    <t xml:space="preserve">    行政規費與強制費</t>
    <phoneticPr fontId="2" type="noConversion"/>
  </si>
  <si>
    <t>會費、捐助、補助、分攤、救助(濟)與交流活動費</t>
    <phoneticPr fontId="2" type="noConversion"/>
  </si>
  <si>
    <t xml:space="preserve">  捐助、補助與獎助</t>
    <phoneticPr fontId="2" type="noConversion"/>
  </si>
  <si>
    <r>
      <t>合</t>
    </r>
    <r>
      <rPr>
        <sz val="12"/>
        <color indexed="8"/>
        <rFont val="Times New Roman"/>
        <family val="1"/>
      </rPr>
      <t xml:space="preserve">           </t>
    </r>
    <r>
      <rPr>
        <sz val="12"/>
        <color indexed="8"/>
        <rFont val="標楷體"/>
        <family val="4"/>
        <charset val="136"/>
      </rPr>
      <t>計</t>
    </r>
    <phoneticPr fontId="2" type="noConversion"/>
  </si>
  <si>
    <t xml:space="preserve">    捐助國內團體</t>
    <phoneticPr fontId="2" type="noConversion"/>
  </si>
  <si>
    <t xml:space="preserve">    捐助國內團體</t>
    <phoneticPr fontId="2" type="noConversion"/>
  </si>
  <si>
    <t>人次</t>
  </si>
  <si>
    <t>中華民國 106年度</t>
    <phoneticPr fontId="14" type="noConversion"/>
  </si>
  <si>
    <t>中華民國106年12月31日</t>
    <phoneticPr fontId="2" type="noConversion"/>
  </si>
  <si>
    <t>104年12月31日
實  際  數</t>
    <phoneticPr fontId="2" type="noConversion"/>
  </si>
  <si>
    <t>106年12月31日
預  計  數</t>
    <phoneticPr fontId="2" type="noConversion"/>
  </si>
  <si>
    <t xml:space="preserve">備註：信託代理與保證資產(負債)1,058千元，屬保證品(應付保證品)。     </t>
    <phoneticPr fontId="2" type="noConversion"/>
  </si>
  <si>
    <t xml:space="preserve">    專技人員申請減免應試科目審議</t>
    <phoneticPr fontId="2" type="noConversion"/>
  </si>
  <si>
    <t xml:space="preserve">    專技人員申請實務經歷及專業研習
  </t>
    <phoneticPr fontId="2" type="noConversion"/>
  </si>
  <si>
    <t xml:space="preserve">    紀錄審查</t>
    <phoneticPr fontId="2" type="noConversion"/>
  </si>
  <si>
    <t>其他業務外費用</t>
    <phoneticPr fontId="2" type="noConversion"/>
  </si>
  <si>
    <t>稅捐與規費(強制費)</t>
    <phoneticPr fontId="2" type="noConversion"/>
  </si>
  <si>
    <t>收支餘絀預計表</t>
    <phoneticPr fontId="2" type="noConversion"/>
  </si>
  <si>
    <t>收支餘絀預計表說明</t>
    <phoneticPr fontId="2" type="noConversion"/>
  </si>
  <si>
    <t xml:space="preserve">    材料及用品費</t>
    <phoneticPr fontId="2" type="noConversion"/>
  </si>
  <si>
    <t xml:space="preserve">    稅捐與規費(強制費)</t>
    <phoneticPr fontId="2" type="noConversion"/>
  </si>
  <si>
    <t>15-16</t>
    <phoneticPr fontId="2" type="noConversion"/>
  </si>
  <si>
    <t>（二）明細表</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</si>
  <si>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</si>
  <si>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</si>
  <si>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</si>
  <si>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t xml:space="preserve">   5.勞務成本明細表及說明．．．．．．．．．．．．．．．．．．．．．．．．．．．．．．</t>
    <phoneticPr fontId="2" type="noConversion"/>
  </si>
  <si>
    <t xml:space="preserve">   2.５年來主要營運項目分析表．．．．．．．．．．．．．．．．．</t>
    <phoneticPr fontId="2" type="noConversion"/>
  </si>
  <si>
    <t xml:space="preserve">   3.員工人數彙計表．．．．．．．．．．．．．．．．．．．．．．</t>
    <phoneticPr fontId="2" type="noConversion"/>
  </si>
  <si>
    <t xml:space="preserve">   5.各項費用彙計表．．．．．．．．．．．．．．．．．．．．．．．．．．．．．．．29</t>
    <phoneticPr fontId="2" type="noConversion"/>
  </si>
  <si>
    <r>
      <t>　　</t>
    </r>
    <r>
      <rPr>
        <sz val="14"/>
        <rFont val="Times New Roman"/>
        <family val="1"/>
      </rPr>
      <t xml:space="preserve">   </t>
    </r>
    <r>
      <rPr>
        <sz val="14"/>
        <rFont val="標楷體"/>
        <family val="4"/>
        <charset val="136"/>
      </rPr>
      <t>辦理情形報告表．．．．．．．．．．．．．．．．．．．．．．</t>
    </r>
    <phoneticPr fontId="2" type="noConversion"/>
  </si>
  <si>
    <t>1-14</t>
    <phoneticPr fontId="2" type="noConversion"/>
  </si>
  <si>
    <t>度應付費用預估溢列數合計2,000千元。</t>
    <phoneticPr fontId="2" type="noConversion"/>
  </si>
  <si>
    <t>上年度預計增減資產原值</t>
    <phoneticPr fontId="14" type="noConversion"/>
  </si>
  <si>
    <t>本年度預計增減資產原值</t>
    <phoneticPr fontId="14" type="noConversion"/>
  </si>
  <si>
    <t xml:space="preserve">    專利權</t>
    <phoneticPr fontId="5" type="noConversion"/>
  </si>
  <si>
    <t xml:space="preserve">    其他攤銷費用</t>
    <phoneticPr fontId="2" type="noConversion"/>
  </si>
  <si>
    <t xml:space="preserve">    專門職業及技術人員特種考試</t>
    <phoneticPr fontId="2" type="noConversion"/>
  </si>
  <si>
    <t>本期其他綜合餘絀</t>
    <phoneticPr fontId="2" type="noConversion"/>
  </si>
  <si>
    <t>一、本期收支項目之說明：</t>
    <phoneticPr fontId="14" type="noConversion"/>
  </si>
  <si>
    <t xml:space="preserve">  不動產、廠房及設備折舊</t>
    <phoneticPr fontId="2" type="noConversion"/>
  </si>
  <si>
    <t xml:space="preserve">    電腦租金及使用費</t>
    <phoneticPr fontId="2" type="noConversion"/>
  </si>
  <si>
    <t xml:space="preserve">    電腦軟體服務費</t>
    <phoneticPr fontId="2" type="noConversion"/>
  </si>
  <si>
    <t xml:space="preserve">  流動金融資產</t>
    <phoneticPr fontId="2" type="noConversion"/>
  </si>
  <si>
    <t xml:space="preserve">    其他金融資產-流動</t>
    <phoneticPr fontId="2" type="noConversion"/>
  </si>
  <si>
    <t xml:space="preserve"> </t>
    <phoneticPr fontId="2" type="noConversion"/>
  </si>
  <si>
    <t>賠（補）償收入</t>
    <phoneticPr fontId="2" type="noConversion"/>
  </si>
  <si>
    <t>違規罰款收入</t>
    <phoneticPr fontId="2" type="noConversion"/>
  </si>
  <si>
    <t>公積轉列數</t>
    <phoneticPr fontId="2" type="noConversion"/>
  </si>
  <si>
    <r>
      <t xml:space="preserve">    </t>
    </r>
    <r>
      <rPr>
        <sz val="12"/>
        <color indexed="8"/>
        <rFont val="標楷體"/>
        <family val="4"/>
        <charset val="136"/>
      </rPr>
      <t xml:space="preserve">不動產、廠房及設備
</t>
    </r>
    <r>
      <rPr>
        <sz val="12"/>
        <color indexed="8"/>
        <rFont val="Times New Roman"/>
        <family val="1"/>
      </rPr>
      <t xml:space="preserve">    </t>
    </r>
    <r>
      <rPr>
        <sz val="12"/>
        <color indexed="8"/>
        <rFont val="標楷體"/>
        <family val="4"/>
        <charset val="136"/>
      </rPr>
      <t>折舊</t>
    </r>
    <phoneticPr fontId="2" type="noConversion"/>
  </si>
  <si>
    <t xml:space="preserve">  利息股利之調整</t>
    <phoneticPr fontId="2" type="noConversion"/>
  </si>
  <si>
    <t xml:space="preserve">  收取利息</t>
    <phoneticPr fontId="2" type="noConversion"/>
  </si>
  <si>
    <t xml:space="preserve">    增加不動產、廠房及設備</t>
    <phoneticPr fontId="2" type="noConversion"/>
  </si>
  <si>
    <t xml:space="preserve">  減少無形資產及其他資產</t>
    <phoneticPr fontId="2" type="noConversion"/>
  </si>
  <si>
    <t>中華民國 107 年度</t>
    <phoneticPr fontId="2" type="noConversion"/>
  </si>
  <si>
    <t xml:space="preserve">    電腦軟體服務費</t>
    <phoneticPr fontId="2" type="noConversion"/>
  </si>
  <si>
    <t xml:space="preserve">    電腦租金及使用費</t>
    <phoneticPr fontId="2" type="noConversion"/>
  </si>
  <si>
    <t xml:space="preserve">  不動產、廠房及設備折舊</t>
    <phoneticPr fontId="2" type="noConversion"/>
  </si>
  <si>
    <t xml:space="preserve">  調整項目</t>
    <phoneticPr fontId="2" type="noConversion"/>
  </si>
  <si>
    <t xml:space="preserve">      不動產、廠房及設備折舊</t>
    <phoneticPr fontId="2" type="noConversion"/>
  </si>
  <si>
    <t xml:space="preserve">      攤銷</t>
    <phoneticPr fontId="2" type="noConversion"/>
  </si>
  <si>
    <t>不動產、廠房及設備</t>
    <phoneticPr fontId="2" type="noConversion"/>
  </si>
  <si>
    <t>營運資金</t>
    <phoneticPr fontId="14" type="noConversion"/>
  </si>
  <si>
    <t xml:space="preserve">  增加無形資產及其他資產</t>
    <phoneticPr fontId="2" type="noConversion"/>
  </si>
  <si>
    <t xml:space="preserve">    增加無形資產</t>
    <phoneticPr fontId="2" type="noConversion"/>
  </si>
  <si>
    <t xml:space="preserve">    減少其他資產</t>
    <phoneticPr fontId="2" type="noConversion"/>
  </si>
  <si>
    <t>　　　1.辦理各項考試業務按試務期程所需彈性進退之按日計時臨時人員，預計進用90天以內</t>
    <phoneticPr fontId="14" type="noConversion"/>
  </si>
  <si>
    <t>不動產、廠房及設備</t>
    <phoneticPr fontId="14" type="noConversion"/>
  </si>
  <si>
    <t>投資性不動產</t>
    <phoneticPr fontId="14" type="noConversion"/>
  </si>
  <si>
    <t>其他</t>
    <phoneticPr fontId="14" type="noConversion"/>
  </si>
  <si>
    <t xml:space="preserve">  解繳公庫淨額</t>
    <phoneticPr fontId="2" type="noConversion"/>
  </si>
  <si>
    <t>　　折減基金繳庫</t>
    <phoneticPr fontId="14" type="noConversion"/>
  </si>
  <si>
    <t>23-25</t>
    <phoneticPr fontId="2" type="noConversion"/>
  </si>
  <si>
    <t xml:space="preserve">   1.收支餘絀預計表及說明．．．．．．．．．．．．．．．．．．．．．</t>
    <phoneticPr fontId="2" type="noConversion"/>
  </si>
  <si>
    <t>待填補之短絀</t>
    <phoneticPr fontId="2" type="noConversion"/>
  </si>
  <si>
    <t>小  計</t>
    <phoneticPr fontId="14" type="noConversion"/>
  </si>
  <si>
    <t>不動產、廠房及設備</t>
    <phoneticPr fontId="14" type="noConversion"/>
  </si>
  <si>
    <t>投資性不動產</t>
    <phoneticPr fontId="14" type="noConversion"/>
  </si>
  <si>
    <t>計畫</t>
    <phoneticPr fontId="14" type="noConversion"/>
  </si>
  <si>
    <t>一般建築及設備</t>
    <phoneticPr fontId="14" type="noConversion"/>
  </si>
  <si>
    <t>合  計</t>
    <phoneticPr fontId="14" type="noConversion"/>
  </si>
  <si>
    <t>資金來源</t>
    <phoneticPr fontId="14" type="noConversion"/>
  </si>
  <si>
    <t>投資總額</t>
    <phoneticPr fontId="14" type="noConversion"/>
  </si>
  <si>
    <t>其他補助收入</t>
    <phoneticPr fontId="2" type="noConversion"/>
  </si>
  <si>
    <t>其他補助收入</t>
    <phoneticPr fontId="2" type="noConversion"/>
  </si>
  <si>
    <t>雜項業務收入</t>
    <phoneticPr fontId="2" type="noConversion"/>
  </si>
  <si>
    <t>係內政部建築研究所補助第二試務大樓空調系統節能改善工程補助款於資產耐用年限內分年認列之收入290千元。</t>
    <phoneticPr fontId="14" type="noConversion"/>
  </si>
  <si>
    <t>追溯適用及追溯重編之影響數</t>
    <phoneticPr fontId="2" type="noConversion"/>
  </si>
  <si>
    <r>
      <t xml:space="preserve">  </t>
    </r>
    <r>
      <rPr>
        <b/>
        <sz val="12"/>
        <color indexed="8"/>
        <rFont val="標楷體"/>
        <family val="4"/>
        <charset val="136"/>
      </rPr>
      <t>折舊、折耗及攤銷</t>
    </r>
    <phoneticPr fontId="2" type="noConversion"/>
  </si>
  <si>
    <t xml:space="preserve"> 稅捐與規費(強制費)</t>
    <phoneticPr fontId="2" type="noConversion"/>
  </si>
  <si>
    <t>　　　2.清潔外包部分之承攬人力7人、保全勤務人力1人、電腦維護、網路維運及機房管理委</t>
    <phoneticPr fontId="14" type="noConversion"/>
  </si>
  <si>
    <t>(1)其他補助收入290千元：係內政部建築研究所補助第二試務大樓空調系統節能改
   善工程補助款於資產耐用年限內分年認列之收入。</t>
    <phoneticPr fontId="14" type="noConversion"/>
  </si>
  <si>
    <t xml:space="preserve">  遞延負債</t>
    <phoneticPr fontId="2" type="noConversion"/>
  </si>
  <si>
    <t xml:space="preserve">    遞延收入</t>
    <phoneticPr fontId="2" type="noConversion"/>
  </si>
  <si>
    <t>累積餘絀</t>
    <phoneticPr fontId="2" type="noConversion"/>
  </si>
  <si>
    <t>最近五年賸餘分配（圖5）</t>
    <phoneticPr fontId="3" type="noConversion"/>
  </si>
  <si>
    <t>最近五年收入與費用（圖3）</t>
    <phoneticPr fontId="3" type="noConversion"/>
  </si>
  <si>
    <t xml:space="preserve">   業務外收入  </t>
    <phoneticPr fontId="14" type="noConversion"/>
  </si>
  <si>
    <r>
      <t xml:space="preserve">  </t>
    </r>
    <r>
      <rPr>
        <sz val="12"/>
        <color indexed="8"/>
        <rFont val="標楷體"/>
        <family val="4"/>
        <charset val="136"/>
      </rPr>
      <t xml:space="preserve"> 業務外費用</t>
    </r>
    <phoneticPr fontId="14" type="noConversion"/>
  </si>
  <si>
    <t>二、本期其他綜合餘絀之說明：無。</t>
    <phoneticPr fontId="14" type="noConversion"/>
  </si>
  <si>
    <t>比較增減</t>
    <phoneticPr fontId="2" type="noConversion"/>
  </si>
  <si>
    <r>
      <t>預</t>
    </r>
    <r>
      <rPr>
        <sz val="12"/>
        <rFont val="Times New Roman"/>
        <family val="1"/>
      </rPr>
      <t>(</t>
    </r>
    <r>
      <rPr>
        <sz val="12"/>
        <rFont val="標楷體"/>
        <family val="4"/>
        <charset val="136"/>
      </rPr>
      <t>決</t>
    </r>
    <r>
      <rPr>
        <sz val="12"/>
        <rFont val="Times New Roman"/>
        <family val="1"/>
      </rPr>
      <t>)</t>
    </r>
    <r>
      <rPr>
        <sz val="12"/>
        <rFont val="標楷體"/>
        <family val="4"/>
        <charset val="136"/>
      </rPr>
      <t>算</t>
    </r>
    <r>
      <rPr>
        <sz val="12"/>
        <rFont val="標楷體"/>
        <family val="4"/>
        <charset val="136"/>
      </rPr>
      <t>數</t>
    </r>
    <phoneticPr fontId="14" type="noConversion"/>
  </si>
  <si>
    <t>總      計</t>
    <phoneticPr fontId="2" type="noConversion"/>
  </si>
  <si>
    <t xml:space="preserve">  未計利息股利之本期賸餘(短絀)</t>
    <phoneticPr fontId="2" type="noConversion"/>
  </si>
  <si>
    <t xml:space="preserve">  未計利息股利之現金流入(流出)</t>
    <phoneticPr fontId="2" type="noConversion"/>
  </si>
  <si>
    <t xml:space="preserve">    投資活動之淨現金流入(流出)</t>
    <phoneticPr fontId="2" type="noConversion"/>
  </si>
  <si>
    <t xml:space="preserve">    籌資活動之淨現金流入(流出)</t>
    <phoneticPr fontId="2" type="noConversion"/>
  </si>
  <si>
    <t>現金及約當現金之淨增(淨減)</t>
    <phoneticPr fontId="2" type="noConversion"/>
  </si>
  <si>
    <t>增加電腦軟體。</t>
    <phoneticPr fontId="2" type="noConversion"/>
  </si>
  <si>
    <t>前期未分配賸餘</t>
    <phoneticPr fontId="2" type="noConversion"/>
  </si>
  <si>
    <t>　公庫撥款</t>
    <phoneticPr fontId="2" type="noConversion"/>
  </si>
  <si>
    <r>
      <t>項</t>
    </r>
    <r>
      <rPr>
        <sz val="12"/>
        <rFont val="Times New Roman"/>
        <family val="1"/>
      </rPr>
      <t xml:space="preserve">                                                                  </t>
    </r>
    <r>
      <rPr>
        <sz val="12"/>
        <rFont val="標楷體"/>
        <family val="4"/>
        <charset val="136"/>
      </rPr>
      <t>目</t>
    </r>
    <phoneticPr fontId="2"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</si>
  <si>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2" type="noConversion"/>
  </si>
  <si>
    <r>
      <t>說</t>
    </r>
    <r>
      <rPr>
        <sz val="12"/>
        <rFont val="Times New Roman"/>
        <family val="1"/>
      </rPr>
      <t xml:space="preserve">                                         </t>
    </r>
    <r>
      <rPr>
        <sz val="12"/>
        <rFont val="標楷體"/>
        <family val="4"/>
        <charset val="136"/>
      </rPr>
      <t>明</t>
    </r>
    <phoneticPr fontId="2" type="noConversion"/>
  </si>
  <si>
    <t xml:space="preserve">  本期賸餘(短絀)</t>
    <phoneticPr fontId="2" type="noConversion"/>
  </si>
  <si>
    <t xml:space="preserve">    折舊、減損及折耗</t>
    <phoneticPr fontId="2" type="noConversion"/>
  </si>
  <si>
    <t xml:space="preserve">    遞延收入於資產耐用年限內分年轉列其
    他補助收入</t>
    <phoneticPr fontId="2" type="noConversion"/>
  </si>
  <si>
    <t xml:space="preserve">    業務活動之淨現金流入(流出)</t>
    <phoneticPr fontId="2" type="noConversion"/>
  </si>
  <si>
    <t>減少存出保證金2千元。</t>
    <phoneticPr fontId="2" type="noConversion"/>
  </si>
  <si>
    <t xml:space="preserve">  增加不動產、廠房及設備、礦產資源</t>
    <phoneticPr fontId="2" type="noConversion"/>
  </si>
  <si>
    <t>籌資活動之現金流量</t>
    <phoneticPr fontId="2" type="noConversion"/>
  </si>
  <si>
    <t xml:space="preserve">  增加短期債務、流動金融負債及其他負債</t>
    <phoneticPr fontId="2" type="noConversion"/>
  </si>
  <si>
    <r>
      <t>註：本表係採現金及約當現金基礎，包括現金及自投資日起</t>
    </r>
    <r>
      <rPr>
        <sz val="12"/>
        <rFont val="Times New Roman"/>
        <family val="1"/>
      </rPr>
      <t>3</t>
    </r>
    <r>
      <rPr>
        <sz val="12"/>
        <rFont val="標楷體"/>
        <family val="4"/>
        <charset val="136"/>
      </rPr>
      <t>個月內到期或清償之債權證券。</t>
    </r>
    <phoneticPr fontId="2" type="noConversion"/>
  </si>
  <si>
    <t>報名費收入</t>
    <phoneticPr fontId="2" type="noConversion"/>
  </si>
  <si>
    <t>雜項業務收入</t>
    <phoneticPr fontId="2" type="noConversion"/>
  </si>
  <si>
    <t>業務賸餘（短絀）</t>
    <phoneticPr fontId="2" type="noConversion"/>
  </si>
  <si>
    <t>雜項收入</t>
    <phoneticPr fontId="2" type="noConversion"/>
  </si>
  <si>
    <t>業務外賸餘（短絀）</t>
    <phoneticPr fontId="2" type="noConversion"/>
  </si>
  <si>
    <t>本期賸餘（短絀）</t>
    <phoneticPr fontId="2" type="noConversion"/>
  </si>
  <si>
    <t>108年12月31日
預  計  數</t>
    <phoneticPr fontId="2" type="noConversion"/>
  </si>
  <si>
    <t>109年12月31日
預  計  數</t>
    <phoneticPr fontId="2" type="noConversion"/>
  </si>
  <si>
    <t>中華民國109年12月31日</t>
    <phoneticPr fontId="2" type="noConversion"/>
  </si>
  <si>
    <t>107年12月31日
實  際  數</t>
    <phoneticPr fontId="2" type="noConversion"/>
  </si>
  <si>
    <t>中華民國 109 年度</t>
    <phoneticPr fontId="2" type="noConversion"/>
  </si>
  <si>
    <t xml:space="preserve">    農業與園藝用品及環境美化費</t>
    <phoneticPr fontId="2" type="noConversion"/>
  </si>
  <si>
    <t xml:space="preserve">    農業與園藝用品及環境美化費</t>
    <phoneticPr fontId="2" type="noConversion"/>
  </si>
  <si>
    <t>中華民國 109年度</t>
    <phoneticPr fontId="2" type="noConversion"/>
  </si>
  <si>
    <t>中華民國 109 年度</t>
    <phoneticPr fontId="14" type="noConversion"/>
  </si>
  <si>
    <t>包括：折舊15,994千元；攤銷14,006千元；流動資產淨減2,951千元；流動負債淨減1,197千元；遞延負債於資產耐用年限內分年轉列其他補助收入290千元。</t>
    <phoneticPr fontId="2" type="noConversion"/>
  </si>
  <si>
    <t>中華民國 109 年度</t>
    <phoneticPr fontId="2" type="noConversion"/>
  </si>
  <si>
    <t>註：百分比及前年度決算數細數之和與總數或略有出入，係四捨五入關係。以下各表同。</t>
    <phoneticPr fontId="2" type="noConversion"/>
  </si>
  <si>
    <t>中華民國 109 年度</t>
    <phoneticPr fontId="2" type="noConversion"/>
  </si>
  <si>
    <t>107-106</t>
    <phoneticPr fontId="14" type="noConversion"/>
  </si>
  <si>
    <t>107-105</t>
    <phoneticPr fontId="14" type="noConversion"/>
  </si>
  <si>
    <t>106-105</t>
    <phoneticPr fontId="14" type="noConversion"/>
  </si>
  <si>
    <t>中華民國 109 年度</t>
    <phoneticPr fontId="14" type="noConversion"/>
  </si>
  <si>
    <t>2.其他業務成本1,112千元：係辦理各類考試應考人申請閱覽試卷及成績複查之相關
  成本。</t>
    <phoneticPr fontId="14" type="noConversion"/>
  </si>
  <si>
    <t>1.勞務成本603,715千元：</t>
    <phoneticPr fontId="14" type="noConversion"/>
  </si>
  <si>
    <t>(一)業務收入612,092千元，包括：</t>
    <phoneticPr fontId="14" type="noConversion"/>
  </si>
  <si>
    <t>1.勞務收入610,642千元：係預計各類考試報名費收入。</t>
    <phoneticPr fontId="14" type="noConversion"/>
  </si>
  <si>
    <t>2.其他業務收入1,450千元，包括：</t>
    <phoneticPr fontId="14" type="noConversion"/>
  </si>
  <si>
    <t>(2)雜項業務收入1,160千元：係預計各類考試應考人申請閱覽試卷及成績複查之收
   入。</t>
    <phoneticPr fontId="14" type="noConversion"/>
  </si>
  <si>
    <t xml:space="preserve">(三)業務收入與業務成本與費用相抵，本年度之業務賸餘為10,678千元。     </t>
    <phoneticPr fontId="14" type="noConversion"/>
  </si>
  <si>
    <t>(四)業務外收入4,550千元，包括：</t>
    <phoneticPr fontId="14" type="noConversion"/>
  </si>
  <si>
    <t>1.財務收入2,550千元：係銀行存款利息收入。</t>
    <phoneticPr fontId="14" type="noConversion"/>
  </si>
  <si>
    <t>(六)綜上，本期賸餘為15,178千元。</t>
    <phoneticPr fontId="14" type="noConversion"/>
  </si>
  <si>
    <t>中華民國 109 年度</t>
    <phoneticPr fontId="2" type="noConversion"/>
  </si>
  <si>
    <t>係調整利息收入2,550千元。</t>
    <phoneticPr fontId="2" type="noConversion"/>
  </si>
  <si>
    <t>增加機械及設備13,010千元及
什項設備4,485千元。</t>
    <phoneticPr fontId="2" type="noConversion"/>
  </si>
  <si>
    <t>增加存入保證金1,425千元。</t>
    <phoneticPr fontId="2" type="noConversion"/>
  </si>
  <si>
    <t>中華民國 109年度</t>
    <phoneticPr fontId="2" type="noConversion"/>
  </si>
  <si>
    <t>係各項考試申請複查成績及閱覽試卷之收入1,160千元。</t>
    <phoneticPr fontId="2" type="noConversion"/>
  </si>
  <si>
    <t>係估列銀行存款利息收入2,550千元。</t>
    <phoneticPr fontId="2" type="noConversion"/>
  </si>
  <si>
    <t>中華民國 109 年度</t>
    <phoneticPr fontId="14" type="noConversion"/>
  </si>
  <si>
    <t xml:space="preserve"> 109年度</t>
    <phoneticPr fontId="14" type="noConversion"/>
  </si>
  <si>
    <r>
      <t xml:space="preserve">  </t>
    </r>
    <r>
      <rPr>
        <sz val="12"/>
        <rFont val="標楷體"/>
        <family val="4"/>
        <charset val="136"/>
      </rPr>
      <t xml:space="preserve"> 109.1~109.12</t>
    </r>
    <phoneticPr fontId="14" type="noConversion"/>
  </si>
  <si>
    <t>中華民國 109 年度</t>
    <phoneticPr fontId="8" type="noConversion"/>
  </si>
  <si>
    <t>105年度決算數</t>
    <phoneticPr fontId="14" type="noConversion"/>
  </si>
  <si>
    <t>106年度決算數</t>
    <phoneticPr fontId="14" type="noConversion"/>
  </si>
  <si>
    <t>　　　　定期契約臨時人員399人、90至180天定期契約臨時人員111人、181天至1年定期契約臨</t>
    <phoneticPr fontId="14" type="noConversion"/>
  </si>
  <si>
    <t>　　　　時人員138人及不定期契約臨時人員58人。</t>
    <phoneticPr fontId="14" type="noConversion"/>
  </si>
  <si>
    <t>　　　3.入闈及考試期間委託醫事、氣象等專業人員服務45人次。</t>
    <phoneticPr fontId="14" type="noConversion"/>
  </si>
  <si>
    <t xml:space="preserve">        勞務承攬人力1人。</t>
    <phoneticPr fontId="14" type="noConversion"/>
  </si>
  <si>
    <t>109 年度</t>
    <phoneticPr fontId="8" type="noConversion"/>
  </si>
  <si>
    <t>　　　1.辦理各項考試業務所需支付按日計時之臨時人員之工資64,862千元，編列於一般服  務費項下之計時與計件人員酬金科目。</t>
    <phoneticPr fontId="14" type="noConversion"/>
  </si>
  <si>
    <t xml:space="preserve">        外之承攬人力1人、水電維護委外承攬人力3人、會計處理勞務承攬人力1人、檔案處理</t>
    <phoneticPr fontId="14" type="noConversion"/>
  </si>
  <si>
    <t xml:space="preserve">        務承攬400千元，編列於一般服務費項下之外包費科目。</t>
    <phoneticPr fontId="14" type="noConversion"/>
  </si>
  <si>
    <t>　　　3.入闈及考試期間委託醫事、氣象等專業人員服務之服務費282千元，編列於專業服務 費項下之專技人員酬金科目。</t>
    <phoneticPr fontId="14" type="noConversion"/>
  </si>
  <si>
    <t>金      額</t>
    <phoneticPr fontId="2" type="noConversion"/>
  </si>
  <si>
    <t>中華民國 109 年度</t>
    <phoneticPr fontId="2" type="noConversion"/>
  </si>
  <si>
    <t>109年度固定資產建設改良擴充及資金來源（圖1）</t>
    <phoneticPr fontId="2" type="noConversion"/>
  </si>
  <si>
    <t>109年度預算</t>
    <phoneticPr fontId="14" type="noConversion"/>
  </si>
  <si>
    <t>109年度收入、成本與費用及賸餘（圖2）</t>
    <phoneticPr fontId="2" type="noConversion"/>
  </si>
  <si>
    <t>105年度決算</t>
    <phoneticPr fontId="14" type="noConversion"/>
  </si>
  <si>
    <t>106年度決算</t>
    <phoneticPr fontId="14" type="noConversion"/>
  </si>
  <si>
    <t>107年度決算</t>
    <phoneticPr fontId="14" type="noConversion"/>
  </si>
  <si>
    <t>108年度預算</t>
    <phoneticPr fontId="14" type="noConversion"/>
  </si>
  <si>
    <t>註：105至107年度決算數為審定決算數；108年度預算經立法程序公布者，為法定預算數，
    未完成相關程序者，為預算案數。以下各表同。</t>
    <phoneticPr fontId="3" type="noConversion"/>
  </si>
  <si>
    <t>109 年 度 賸 餘 分 配 （圖4）</t>
    <phoneticPr fontId="2" type="noConversion"/>
  </si>
  <si>
    <t>109年度預算</t>
    <phoneticPr fontId="2" type="noConversion"/>
  </si>
  <si>
    <t>其他轉入數</t>
    <phoneticPr fontId="2" type="noConversion"/>
  </si>
  <si>
    <t>追溯適用及追溯重編之影響數</t>
    <phoneticPr fontId="2" type="noConversion"/>
  </si>
  <si>
    <t>本期短絀</t>
    <phoneticPr fontId="2" type="noConversion"/>
  </si>
  <si>
    <t>前期待填補之短絀</t>
    <phoneticPr fontId="2" type="noConversion"/>
  </si>
  <si>
    <t>單位:新臺幣千元</t>
    <phoneticPr fontId="2" type="noConversion"/>
  </si>
  <si>
    <t>不動產、廠房及設備</t>
    <phoneticPr fontId="2" type="noConversion"/>
  </si>
  <si>
    <t>中華民國109年度</t>
    <phoneticPr fontId="2" type="noConversion"/>
  </si>
  <si>
    <t xml:space="preserve">   6.其他業務外費用明細表及說明．．．．．．．．．．．．．．．．．．．．．．．．．．．．．．</t>
    <phoneticPr fontId="2" type="noConversion"/>
  </si>
  <si>
    <t xml:space="preserve">   7.固定資產建設改良擴充明細表．．．．．．．．．．．．．．．．．．．．．．．．．</t>
    <phoneticPr fontId="2" type="noConversion"/>
  </si>
  <si>
    <t xml:space="preserve">   8.固定資產建設改良擴充資金來源明細表．．．．．．．．．．．．．．．．．．．．．．．．</t>
    <phoneticPr fontId="2" type="noConversion"/>
  </si>
  <si>
    <t xml:space="preserve">   9.固定資產建設改良擴充計畫預期進度明細表．．．．．．．．．．．．．．．．．．．．．</t>
    <phoneticPr fontId="2" type="noConversion"/>
  </si>
  <si>
    <t xml:space="preserve">  10.資產折舊明細表．．．．．．．．．．．．．．．．．．．．．．．．．．．．．．．．．．．．</t>
    <phoneticPr fontId="2" type="noConversion"/>
  </si>
  <si>
    <t xml:space="preserve">  11.基金數額增減明細表．．．．．．．．．．．．．．．．．．．．．．．．．．．．．．．．</t>
    <phoneticPr fontId="2" type="noConversion"/>
  </si>
  <si>
    <t>26-27</t>
    <phoneticPr fontId="2" type="noConversion"/>
  </si>
  <si>
    <t>30-31</t>
    <phoneticPr fontId="2" type="noConversion"/>
  </si>
  <si>
    <t>38-39</t>
    <phoneticPr fontId="2" type="noConversion"/>
  </si>
  <si>
    <t>2.其他業務外收入2,000千元：係報考人退費支票逾期未兌領款項及以前年度應付費用
  預估溢列數。</t>
    <phoneticPr fontId="14" type="noConversion"/>
  </si>
  <si>
    <t>(五)業務外費用50千元：係以前年度退還報考人報名費之支票逾期未兌領，依申請重新
    辦理退款之費用。</t>
    <phoneticPr fontId="14" type="noConversion"/>
  </si>
  <si>
    <t>係報考人退費支票逾期未兌領款項及以前年</t>
    <phoneticPr fontId="2" type="noConversion"/>
  </si>
  <si>
    <t>　　　2.清潔外包之勞務承攬4,152千元、保全勤務503千元、電腦維護、網路維運及機房管  理委外承攬923千元、水電維護委外承攬2,140千元、會計處理勞務承攬413千元、檔案處理勞</t>
    <phoneticPr fontId="14" type="noConversion"/>
  </si>
  <si>
    <t>(二)業務成本與費用601,414千元：係辦理各項考試所發生之必要成本。另以前年度辦理
    各類考試應考人申請閱覽試卷及成績複查之費用係編列於雜項業務成本科目，自本
    年度起併入試務成本科目編列。</t>
    <phoneticPr fontId="14" type="noConversion"/>
  </si>
</sst>
</file>

<file path=xl/styles.xml><?xml version="1.0" encoding="utf-8"?>
<styleSheet xmlns="http://schemas.openxmlformats.org/spreadsheetml/2006/main">
  <numFmts count="10">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_-* #,##0.00_-;\-* #,##0.00_-;_-* &quot;-&quot;_-;_-@_-"/>
    <numFmt numFmtId="181" formatCode="_(&quot;$&quot;* #,##0_);_(&quot;$&quot;* \(#,##0\);_(&quot;$&quot;* &quot;-&quot;_);_(@_)"/>
    <numFmt numFmtId="182" formatCode="#,##0.00_ "/>
    <numFmt numFmtId="183" formatCode="#,##0.00_);[Red]\(#,##0.00\)"/>
  </numFmts>
  <fonts count="90">
    <font>
      <sz val="12"/>
      <name val="新細明體"/>
      <family val="1"/>
      <charset val="136"/>
    </font>
    <font>
      <sz val="12"/>
      <name val="新細明體"/>
      <family val="1"/>
      <charset val="136"/>
    </font>
    <font>
      <sz val="9"/>
      <name val="細明體"/>
      <family val="3"/>
      <charset val="136"/>
    </font>
    <font>
      <sz val="12"/>
      <name val="Times New Roman"/>
      <family val="1"/>
    </font>
    <font>
      <sz val="11"/>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24"/>
      <name val="標楷體"/>
      <family val="4"/>
      <charset val="136"/>
    </font>
    <font>
      <sz val="24"/>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sz val="12"/>
      <name val="新細明體"/>
      <family val="1"/>
      <charset val="136"/>
    </font>
    <font>
      <sz val="14"/>
      <name val="Times New Roman"/>
      <family val="1"/>
    </font>
    <font>
      <sz val="12"/>
      <color indexed="12"/>
      <name val="標楷體"/>
      <family val="4"/>
      <charset val="136"/>
    </font>
    <font>
      <sz val="12"/>
      <color indexed="20"/>
      <name val="標楷體"/>
      <family val="4"/>
      <charset val="136"/>
    </font>
    <font>
      <sz val="12"/>
      <color rgb="FFFF0000"/>
      <name val="標楷體"/>
      <family val="4"/>
      <charset val="136"/>
    </font>
    <font>
      <sz val="9"/>
      <color indexed="81"/>
      <name val="Tahoma"/>
      <family val="2"/>
    </font>
    <font>
      <b/>
      <sz val="9"/>
      <color indexed="81"/>
      <name val="Tahoma"/>
      <family val="2"/>
    </font>
    <font>
      <sz val="9"/>
      <color indexed="81"/>
      <name val="細明體"/>
      <family val="3"/>
      <charset val="136"/>
    </font>
    <font>
      <sz val="10"/>
      <name val="Times New Roman"/>
      <family val="1"/>
    </font>
    <font>
      <sz val="12"/>
      <color rgb="FF0000FF"/>
      <name val="標楷體"/>
      <family val="4"/>
      <charset val="136"/>
    </font>
    <font>
      <sz val="11"/>
      <color rgb="FF0000FF"/>
      <name val="標楷體"/>
      <family val="4"/>
      <charset val="136"/>
    </font>
    <font>
      <sz val="11"/>
      <color rgb="FFFF0000"/>
      <name val="標楷體"/>
      <family val="4"/>
      <charset val="136"/>
    </font>
    <font>
      <b/>
      <sz val="12"/>
      <color rgb="FFFF0000"/>
      <name val="標楷體"/>
      <family val="4"/>
      <charset val="136"/>
    </font>
    <font>
      <strike/>
      <sz val="12"/>
      <name val="標楷體"/>
      <family val="4"/>
      <charset val="136"/>
    </font>
  </fonts>
  <fills count="7">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s>
  <borders count="6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s>
  <cellStyleXfs count="9">
    <xf numFmtId="0" fontId="0" fillId="0" borderId="0"/>
    <xf numFmtId="0" fontId="51" fillId="0" borderId="1" applyNumberFormat="0" applyAlignment="0" applyProtection="0">
      <alignment horizontal="left" vertical="center"/>
    </xf>
    <xf numFmtId="0" fontId="51" fillId="0" borderId="2">
      <alignment horizontal="left" vertical="center"/>
    </xf>
    <xf numFmtId="0" fontId="52"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1" fontId="3" fillId="0" borderId="0" applyFont="0" applyFill="0" applyBorder="0" applyAlignment="0" applyProtection="0"/>
    <xf numFmtId="0" fontId="1" fillId="0" borderId="0"/>
  </cellStyleXfs>
  <cellXfs count="1325">
    <xf numFmtId="0" fontId="0" fillId="0" borderId="0" xfId="0"/>
    <xf numFmtId="0" fontId="5" fillId="0" borderId="0" xfId="0" applyFont="1"/>
    <xf numFmtId="0" fontId="5" fillId="0" borderId="3" xfId="0" applyFont="1"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5" fillId="0" borderId="4" xfId="0" applyFont="1" applyBorder="1"/>
    <xf numFmtId="177" fontId="5" fillId="0" borderId="5" xfId="4" applyNumberFormat="1" applyFont="1" applyBorder="1"/>
    <xf numFmtId="0" fontId="5" fillId="0" borderId="5" xfId="0" applyFont="1" applyBorder="1"/>
    <xf numFmtId="0" fontId="9" fillId="0" borderId="0" xfId="0" applyFont="1"/>
    <xf numFmtId="0" fontId="5" fillId="0" borderId="0" xfId="0" applyFont="1" applyBorder="1"/>
    <xf numFmtId="0" fontId="5" fillId="0" borderId="0" xfId="0" applyFont="1" applyAlignment="1">
      <alignment horizontal="right"/>
    </xf>
    <xf numFmtId="0" fontId="15" fillId="0" borderId="0" xfId="0" applyFont="1" applyAlignment="1">
      <alignment horizontal="center"/>
    </xf>
    <xf numFmtId="0" fontId="5" fillId="0" borderId="3" xfId="0" applyFont="1" applyBorder="1" applyAlignment="1">
      <alignment horizontal="center" vertical="center"/>
    </xf>
    <xf numFmtId="49" fontId="5"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5" fillId="0" borderId="12" xfId="0" applyFont="1" applyBorder="1"/>
    <xf numFmtId="0" fontId="5" fillId="0" borderId="14" xfId="0" applyFont="1" applyBorder="1"/>
    <xf numFmtId="0" fontId="9" fillId="0" borderId="0" xfId="0" applyFont="1" applyBorder="1" applyAlignment="1">
      <alignment horizontal="center"/>
    </xf>
    <xf numFmtId="0" fontId="9" fillId="0" borderId="0" xfId="0" applyFont="1" applyAlignment="1">
      <alignment horizontal="right"/>
    </xf>
    <xf numFmtId="0" fontId="5" fillId="0" borderId="5" xfId="0" applyFont="1" applyBorder="1" applyAlignment="1">
      <alignment vertical="top"/>
    </xf>
    <xf numFmtId="0" fontId="5" fillId="0" borderId="0" xfId="0" applyFont="1" applyBorder="1" applyAlignment="1">
      <alignment vertical="top"/>
    </xf>
    <xf numFmtId="0" fontId="25" fillId="0" borderId="6" xfId="0" applyFont="1" applyFill="1" applyBorder="1" applyAlignment="1">
      <alignment horizontal="left"/>
    </xf>
    <xf numFmtId="177" fontId="24" fillId="0" borderId="16" xfId="4" applyNumberFormat="1" applyFont="1" applyFill="1" applyBorder="1"/>
    <xf numFmtId="0" fontId="5" fillId="0" borderId="17" xfId="0" applyFont="1" applyBorder="1"/>
    <xf numFmtId="0" fontId="5" fillId="0" borderId="0" xfId="0" applyFont="1" applyAlignment="1">
      <alignment vertical="top"/>
    </xf>
    <xf numFmtId="0" fontId="5" fillId="0" borderId="18" xfId="0" applyFont="1" applyBorder="1"/>
    <xf numFmtId="41" fontId="5" fillId="0" borderId="5" xfId="5" applyFont="1" applyBorder="1" applyAlignment="1">
      <alignment vertical="top" wrapText="1"/>
    </xf>
    <xf numFmtId="177" fontId="24" fillId="0" borderId="16" xfId="0" applyNumberFormat="1" applyFont="1" applyFill="1" applyBorder="1" applyAlignment="1">
      <alignment horizontal="center"/>
    </xf>
    <xf numFmtId="0" fontId="31" fillId="0" borderId="0" xfId="0" applyFont="1" applyFill="1"/>
    <xf numFmtId="0" fontId="32" fillId="0" borderId="0" xfId="0" applyFont="1"/>
    <xf numFmtId="177" fontId="24" fillId="0" borderId="5" xfId="4" applyNumberFormat="1" applyFont="1" applyBorder="1"/>
    <xf numFmtId="0" fontId="31" fillId="0" borderId="0" xfId="0" applyFont="1" applyAlignment="1">
      <alignment horizontal="center"/>
    </xf>
    <xf numFmtId="0" fontId="34" fillId="0" borderId="0" xfId="0" applyFont="1" applyAlignment="1">
      <alignment horizontal="center"/>
    </xf>
    <xf numFmtId="0" fontId="37" fillId="0" borderId="0" xfId="0" applyFont="1" applyAlignment="1">
      <alignment horizontal="center"/>
    </xf>
    <xf numFmtId="0" fontId="24" fillId="0" borderId="0" xfId="0" applyFont="1" applyAlignment="1">
      <alignment horizontal="center"/>
    </xf>
    <xf numFmtId="0" fontId="24" fillId="0" borderId="0" xfId="0" applyFont="1" applyAlignment="1">
      <alignment horizontal="right"/>
    </xf>
    <xf numFmtId="0" fontId="31" fillId="0" borderId="0" xfId="0" applyFont="1"/>
    <xf numFmtId="177" fontId="24" fillId="0" borderId="0" xfId="4" applyNumberFormat="1" applyFont="1" applyFill="1" applyBorder="1"/>
    <xf numFmtId="0" fontId="24" fillId="0" borderId="0" xfId="0" applyFont="1" applyFill="1" applyBorder="1"/>
    <xf numFmtId="0" fontId="24" fillId="0" borderId="6" xfId="0" applyFont="1" applyFill="1" applyBorder="1"/>
    <xf numFmtId="0" fontId="32" fillId="0" borderId="0" xfId="0" applyFont="1" applyAlignment="1">
      <alignment horizontal="center"/>
    </xf>
    <xf numFmtId="0" fontId="35" fillId="0" borderId="0" xfId="0" applyFont="1" applyFill="1" applyBorder="1" applyAlignment="1">
      <alignment horizontal="left"/>
    </xf>
    <xf numFmtId="0" fontId="24" fillId="0" borderId="0" xfId="0" applyFont="1" applyFill="1" applyBorder="1" applyAlignment="1">
      <alignment horizontal="center"/>
    </xf>
    <xf numFmtId="0" fontId="24" fillId="0" borderId="0" xfId="0" applyFont="1"/>
    <xf numFmtId="0" fontId="24" fillId="0" borderId="5" xfId="0" applyFont="1" applyFill="1" applyBorder="1"/>
    <xf numFmtId="0" fontId="25" fillId="0" borderId="6" xfId="0" applyFont="1" applyFill="1" applyBorder="1" applyAlignment="1"/>
    <xf numFmtId="0" fontId="30" fillId="0" borderId="0" xfId="0" applyFont="1"/>
    <xf numFmtId="0" fontId="25" fillId="0" borderId="6" xfId="0" applyFont="1" applyFill="1" applyBorder="1"/>
    <xf numFmtId="0" fontId="28" fillId="0" borderId="5" xfId="0" applyFont="1" applyFill="1" applyBorder="1"/>
    <xf numFmtId="0" fontId="28" fillId="0" borderId="6" xfId="0" applyFont="1" applyFill="1" applyBorder="1"/>
    <xf numFmtId="177" fontId="24" fillId="0" borderId="7" xfId="4" applyNumberFormat="1" applyFont="1" applyBorder="1"/>
    <xf numFmtId="0" fontId="24" fillId="0" borderId="7" xfId="0" applyFont="1" applyBorder="1"/>
    <xf numFmtId="0" fontId="23" fillId="0" borderId="0" xfId="0" applyFont="1"/>
    <xf numFmtId="0" fontId="32" fillId="0" borderId="19" xfId="0" applyFont="1" applyBorder="1" applyAlignment="1">
      <alignment horizontal="center"/>
    </xf>
    <xf numFmtId="0" fontId="31" fillId="0" borderId="12" xfId="0" applyFont="1" applyBorder="1" applyAlignment="1">
      <alignment horizont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0" xfId="0" applyFont="1" applyFill="1" applyBorder="1" applyAlignment="1"/>
    <xf numFmtId="0" fontId="28" fillId="0" borderId="0" xfId="0" applyFont="1" applyFill="1" applyBorder="1" applyAlignment="1">
      <alignment horizontal="left"/>
    </xf>
    <xf numFmtId="0" fontId="33" fillId="0" borderId="6" xfId="0" applyFont="1" applyFill="1" applyBorder="1"/>
    <xf numFmtId="0" fontId="25" fillId="0" borderId="0" xfId="0" applyFont="1" applyFill="1" applyBorder="1"/>
    <xf numFmtId="0" fontId="30" fillId="0" borderId="0" xfId="0" applyFont="1" applyFill="1" applyBorder="1"/>
    <xf numFmtId="0" fontId="32" fillId="0" borderId="20" xfId="0" applyFont="1" applyBorder="1"/>
    <xf numFmtId="0" fontId="32" fillId="0" borderId="0" xfId="0" applyFont="1" applyFill="1"/>
    <xf numFmtId="43" fontId="30" fillId="0" borderId="0" xfId="4" applyFont="1"/>
    <xf numFmtId="0" fontId="31" fillId="0" borderId="6" xfId="0" applyFont="1" applyFill="1" applyBorder="1"/>
    <xf numFmtId="0" fontId="28" fillId="0" borderId="0" xfId="0" applyFont="1" applyFill="1" applyBorder="1"/>
    <xf numFmtId="0" fontId="31" fillId="0" borderId="0" xfId="0" applyFont="1" applyAlignment="1">
      <alignment horizontal="right"/>
    </xf>
    <xf numFmtId="0" fontId="31" fillId="0" borderId="0" xfId="0" applyFont="1" applyBorder="1"/>
    <xf numFmtId="0" fontId="31" fillId="0" borderId="8" xfId="0" applyFont="1" applyBorder="1"/>
    <xf numFmtId="41" fontId="31" fillId="0" borderId="0" xfId="0" applyNumberFormat="1" applyFont="1"/>
    <xf numFmtId="0" fontId="44" fillId="0" borderId="0" xfId="0" applyFont="1"/>
    <xf numFmtId="0" fontId="28" fillId="0" borderId="0" xfId="0" applyFont="1"/>
    <xf numFmtId="0" fontId="29" fillId="0" borderId="0" xfId="0" applyFont="1"/>
    <xf numFmtId="0" fontId="31" fillId="0" borderId="11" xfId="0" applyFont="1" applyBorder="1"/>
    <xf numFmtId="0" fontId="5" fillId="0" borderId="21" xfId="0" applyFont="1" applyBorder="1"/>
    <xf numFmtId="0" fontId="5" fillId="0" borderId="22" xfId="0" applyFont="1" applyBorder="1"/>
    <xf numFmtId="0" fontId="11" fillId="0" borderId="0" xfId="0" applyFont="1"/>
    <xf numFmtId="0" fontId="31" fillId="0" borderId="23" xfId="0" applyFont="1" applyBorder="1"/>
    <xf numFmtId="0" fontId="31" fillId="0" borderId="12" xfId="0" applyFont="1" applyBorder="1"/>
    <xf numFmtId="0" fontId="31" fillId="0" borderId="13" xfId="0" applyFont="1" applyBorder="1"/>
    <xf numFmtId="0" fontId="5" fillId="0" borderId="0" xfId="0" applyFont="1" applyAlignment="1">
      <alignment horizontal="center" vertical="center"/>
    </xf>
    <xf numFmtId="177" fontId="8" fillId="0" borderId="16" xfId="4" applyNumberFormat="1" applyFont="1" applyFill="1" applyBorder="1"/>
    <xf numFmtId="0" fontId="24" fillId="0" borderId="0" xfId="0" applyFont="1" applyFill="1" applyBorder="1" applyAlignment="1"/>
    <xf numFmtId="0" fontId="49" fillId="0" borderId="6" xfId="0" applyFont="1" applyFill="1" applyBorder="1"/>
    <xf numFmtId="0" fontId="32" fillId="0" borderId="0" xfId="0" applyFont="1" applyFill="1" applyAlignment="1">
      <alignment horizontal="center"/>
    </xf>
    <xf numFmtId="177" fontId="31" fillId="0" borderId="0" xfId="4" applyNumberFormat="1" applyFont="1" applyFill="1" applyBorder="1"/>
    <xf numFmtId="0" fontId="33" fillId="0" borderId="6" xfId="0" applyFont="1" applyFill="1" applyBorder="1" applyAlignment="1">
      <alignment horizontal="left"/>
    </xf>
    <xf numFmtId="0" fontId="5" fillId="0" borderId="0" xfId="0" applyFont="1" applyAlignment="1"/>
    <xf numFmtId="0" fontId="5" fillId="0" borderId="5" xfId="0" applyFont="1" applyBorder="1" applyAlignment="1">
      <alignment horizontal="justify" vertical="top"/>
    </xf>
    <xf numFmtId="178" fontId="5" fillId="0" borderId="24" xfId="0" applyNumberFormat="1" applyFont="1" applyBorder="1" applyAlignment="1">
      <alignment horizontal="right" vertical="top"/>
    </xf>
    <xf numFmtId="0" fontId="5" fillId="0" borderId="7" xfId="0" applyFont="1" applyBorder="1" applyAlignment="1">
      <alignment wrapText="1"/>
    </xf>
    <xf numFmtId="0" fontId="5" fillId="0" borderId="13" xfId="0" applyFont="1" applyBorder="1" applyAlignment="1">
      <alignment wrapText="1"/>
    </xf>
    <xf numFmtId="0" fontId="5" fillId="0" borderId="11" xfId="0" applyFont="1" applyBorder="1" applyAlignment="1">
      <alignment wrapText="1"/>
    </xf>
    <xf numFmtId="0" fontId="5" fillId="0" borderId="11" xfId="0" applyFont="1" applyBorder="1" applyAlignment="1">
      <alignment vertical="top" wrapText="1"/>
    </xf>
    <xf numFmtId="0" fontId="5" fillId="0" borderId="0" xfId="0" applyFont="1" applyBorder="1" applyAlignment="1">
      <alignment wrapText="1"/>
    </xf>
    <xf numFmtId="0" fontId="5" fillId="0" borderId="12" xfId="0" applyFont="1" applyBorder="1" applyAlignment="1">
      <alignment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2" fontId="5" fillId="0" borderId="7" xfId="0" applyNumberFormat="1" applyFont="1" applyBorder="1" applyAlignment="1">
      <alignment wrapText="1"/>
    </xf>
    <xf numFmtId="0" fontId="31" fillId="0" borderId="21" xfId="0" applyFont="1" applyBorder="1" applyAlignment="1">
      <alignment wrapText="1"/>
    </xf>
    <xf numFmtId="0" fontId="5" fillId="0" borderId="27" xfId="0" applyFont="1" applyBorder="1" applyAlignment="1">
      <alignment wrapText="1"/>
    </xf>
    <xf numFmtId="0" fontId="33" fillId="0" borderId="21" xfId="0" applyFont="1" applyBorder="1" applyAlignment="1">
      <alignment wrapText="1"/>
    </xf>
    <xf numFmtId="0" fontId="33" fillId="0" borderId="22" xfId="0" applyFont="1" applyBorder="1" applyAlignment="1">
      <alignment wrapText="1"/>
    </xf>
    <xf numFmtId="0" fontId="5" fillId="0" borderId="5" xfId="0" applyFont="1" applyBorder="1" applyAlignment="1">
      <alignment wrapText="1"/>
    </xf>
    <xf numFmtId="0" fontId="3" fillId="0" borderId="5" xfId="0" applyFont="1" applyBorder="1" applyAlignment="1">
      <alignment wrapText="1"/>
    </xf>
    <xf numFmtId="0" fontId="5" fillId="0" borderId="17" xfId="0" applyFont="1" applyBorder="1" applyAlignment="1">
      <alignment wrapText="1"/>
    </xf>
    <xf numFmtId="0" fontId="31" fillId="0" borderId="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indent="6"/>
    </xf>
    <xf numFmtId="0" fontId="0" fillId="0" borderId="0" xfId="0" applyAlignment="1">
      <alignment horizontal="left" indent="6"/>
    </xf>
    <xf numFmtId="177" fontId="5" fillId="0" borderId="5" xfId="4" applyNumberFormat="1" applyFont="1" applyBorder="1" applyAlignment="1">
      <alignment horizontal="justify" vertical="top"/>
    </xf>
    <xf numFmtId="177" fontId="5" fillId="0" borderId="5" xfId="4" applyNumberFormat="1" applyFont="1" applyBorder="1" applyAlignment="1">
      <alignment horizontal="center" wrapText="1"/>
    </xf>
    <xf numFmtId="0" fontId="5" fillId="0" borderId="5" xfId="0" applyFont="1" applyBorder="1" applyAlignment="1">
      <alignment horizontal="justify" wrapText="1"/>
    </xf>
    <xf numFmtId="0" fontId="5" fillId="0" borderId="14" xfId="0" applyFont="1" applyBorder="1" applyAlignment="1">
      <alignment wrapText="1"/>
    </xf>
    <xf numFmtId="0" fontId="17" fillId="0" borderId="0" xfId="0" applyFont="1"/>
    <xf numFmtId="0" fontId="5" fillId="0" borderId="25" xfId="0" applyFont="1" applyBorder="1" applyAlignment="1">
      <alignment horizontal="center" vertical="center" wrapText="1"/>
    </xf>
    <xf numFmtId="0" fontId="18" fillId="0" borderId="0" xfId="0" applyFont="1" applyAlignment="1">
      <alignment horizontal="center"/>
    </xf>
    <xf numFmtId="0" fontId="55" fillId="0" borderId="0" xfId="0" applyFont="1" applyAlignment="1">
      <alignment horizontal="center"/>
    </xf>
    <xf numFmtId="9" fontId="32" fillId="0" borderId="0" xfId="6" applyFont="1"/>
    <xf numFmtId="9" fontId="32" fillId="0" borderId="0" xfId="6" applyFont="1" applyAlignment="1">
      <alignment horizontal="center"/>
    </xf>
    <xf numFmtId="177" fontId="56" fillId="0" borderId="16" xfId="4" applyNumberFormat="1" applyFont="1" applyFill="1" applyBorder="1"/>
    <xf numFmtId="177" fontId="31" fillId="0" borderId="0" xfId="0" applyNumberFormat="1" applyFont="1" applyFill="1"/>
    <xf numFmtId="177" fontId="31" fillId="0" borderId="5" xfId="4" applyNumberFormat="1" applyFont="1" applyFill="1" applyBorder="1"/>
    <xf numFmtId="0" fontId="16" fillId="0" borderId="0" xfId="0" applyFont="1"/>
    <xf numFmtId="0" fontId="7" fillId="0" borderId="0" xfId="0" applyFont="1"/>
    <xf numFmtId="10" fontId="5" fillId="0" borderId="0" xfId="6" applyNumberFormat="1" applyFont="1"/>
    <xf numFmtId="177" fontId="5" fillId="0" borderId="7" xfId="0" applyNumberFormat="1" applyFont="1" applyBorder="1" applyAlignment="1">
      <alignment horizontal="right" wrapText="1"/>
    </xf>
    <xf numFmtId="177" fontId="5" fillId="0" borderId="7" xfId="4" applyNumberFormat="1" applyFont="1" applyBorder="1" applyAlignment="1">
      <alignment horizontal="right" wrapText="1"/>
    </xf>
    <xf numFmtId="0" fontId="7" fillId="0" borderId="21" xfId="0" applyFont="1" applyBorder="1" applyAlignment="1">
      <alignment horizontal="justify" vertical="top" wrapText="1"/>
    </xf>
    <xf numFmtId="0" fontId="5" fillId="0" borderId="30" xfId="0" applyFont="1" applyBorder="1" applyAlignment="1">
      <alignment horizontal="justify" vertical="top"/>
    </xf>
    <xf numFmtId="0" fontId="5" fillId="0" borderId="14" xfId="0" applyFont="1" applyBorder="1" applyAlignment="1">
      <alignment horizontal="justify" vertical="top"/>
    </xf>
    <xf numFmtId="178" fontId="5" fillId="0" borderId="17" xfId="0" applyNumberFormat="1" applyFont="1" applyBorder="1" applyAlignment="1">
      <alignment horizontal="right" vertical="top"/>
    </xf>
    <xf numFmtId="0" fontId="5" fillId="0" borderId="18" xfId="0" applyFont="1" applyBorder="1" applyAlignment="1">
      <alignment horizontal="justify" vertical="top"/>
    </xf>
    <xf numFmtId="0" fontId="5" fillId="0" borderId="9" xfId="0" applyFont="1" applyBorder="1" applyAlignment="1">
      <alignment horizontal="center" vertical="center"/>
    </xf>
    <xf numFmtId="0" fontId="5" fillId="0" borderId="31" xfId="0" applyFont="1" applyBorder="1" applyAlignment="1">
      <alignment horizontal="center" vertical="center"/>
    </xf>
    <xf numFmtId="0" fontId="8" fillId="0" borderId="21" xfId="0" applyFont="1" applyBorder="1" applyAlignment="1">
      <alignment horizontal="left"/>
    </xf>
    <xf numFmtId="0" fontId="8" fillId="0" borderId="21" xfId="0" applyFont="1" applyBorder="1" applyAlignment="1">
      <alignment horizontal="left" indent="2"/>
    </xf>
    <xf numFmtId="0" fontId="5" fillId="0" borderId="25" xfId="0" applyFont="1" applyBorder="1" applyAlignment="1">
      <alignment horizontal="center" wrapText="1"/>
    </xf>
    <xf numFmtId="177" fontId="8" fillId="0" borderId="3" xfId="4" applyNumberFormat="1" applyFont="1" applyFill="1" applyBorder="1" applyAlignment="1">
      <alignment horizontal="center" vertical="top"/>
    </xf>
    <xf numFmtId="0" fontId="22" fillId="0" borderId="0" xfId="0" applyFont="1" applyAlignment="1">
      <alignment horizontal="center" vertical="center"/>
    </xf>
    <xf numFmtId="0" fontId="59" fillId="0" borderId="0" xfId="0" applyFont="1" applyAlignment="1">
      <alignment horizontal="center" vertical="center"/>
    </xf>
    <xf numFmtId="0" fontId="31" fillId="0" borderId="24" xfId="0" applyFont="1" applyBorder="1"/>
    <xf numFmtId="0" fontId="31" fillId="0" borderId="5" xfId="0" applyFont="1" applyBorder="1"/>
    <xf numFmtId="0" fontId="33" fillId="0" borderId="5" xfId="0" applyFont="1" applyBorder="1"/>
    <xf numFmtId="177" fontId="5" fillId="0" borderId="3" xfId="4" applyNumberFormat="1" applyFont="1" applyBorder="1"/>
    <xf numFmtId="177" fontId="28" fillId="0" borderId="5" xfId="4" applyNumberFormat="1" applyFont="1" applyFill="1" applyBorder="1"/>
    <xf numFmtId="0" fontId="31" fillId="0" borderId="8" xfId="0" applyFont="1" applyFill="1" applyBorder="1"/>
    <xf numFmtId="0" fontId="31" fillId="0" borderId="7" xfId="0" applyFont="1" applyFill="1" applyBorder="1"/>
    <xf numFmtId="0" fontId="31" fillId="0" borderId="5" xfId="0" applyFont="1" applyFill="1" applyBorder="1"/>
    <xf numFmtId="0" fontId="31" fillId="0" borderId="7" xfId="0" applyFont="1" applyFill="1" applyBorder="1" applyAlignment="1">
      <alignment horizontal="left"/>
    </xf>
    <xf numFmtId="0" fontId="31" fillId="0" borderId="5" xfId="0" applyFont="1" applyFill="1" applyBorder="1" applyAlignment="1">
      <alignment horizontal="left"/>
    </xf>
    <xf numFmtId="41" fontId="31" fillId="0" borderId="5" xfId="4" applyNumberFormat="1" applyFont="1" applyFill="1" applyBorder="1"/>
    <xf numFmtId="177" fontId="31" fillId="0" borderId="21" xfId="4" applyNumberFormat="1" applyFont="1" applyFill="1" applyBorder="1"/>
    <xf numFmtId="0" fontId="32" fillId="0" borderId="7" xfId="0" applyFont="1" applyFill="1" applyBorder="1"/>
    <xf numFmtId="0" fontId="24" fillId="0" borderId="11" xfId="0" applyFont="1" applyFill="1" applyBorder="1" applyAlignment="1">
      <alignment horizontal="left"/>
    </xf>
    <xf numFmtId="0" fontId="31" fillId="0" borderId="0" xfId="0" applyFont="1" applyBorder="1" applyAlignment="1">
      <alignment horizontal="center"/>
    </xf>
    <xf numFmtId="0" fontId="5" fillId="0" borderId="21" xfId="0" applyFont="1" applyBorder="1" applyAlignment="1">
      <alignment vertical="top" wrapText="1"/>
    </xf>
    <xf numFmtId="0" fontId="24" fillId="0" borderId="14" xfId="0" applyFont="1" applyBorder="1"/>
    <xf numFmtId="0" fontId="25" fillId="0" borderId="14" xfId="0" applyFont="1" applyBorder="1"/>
    <xf numFmtId="0" fontId="24" fillId="0" borderId="8" xfId="0" applyFont="1" applyBorder="1"/>
    <xf numFmtId="0" fontId="27" fillId="0" borderId="14" xfId="0" applyFont="1" applyBorder="1"/>
    <xf numFmtId="0" fontId="23" fillId="0" borderId="23" xfId="0" applyFont="1" applyBorder="1"/>
    <xf numFmtId="0" fontId="23" fillId="0" borderId="27" xfId="0" applyFont="1" applyBorder="1"/>
    <xf numFmtId="177" fontId="23" fillId="0" borderId="17" xfId="4" applyNumberFormat="1" applyFont="1" applyBorder="1"/>
    <xf numFmtId="0" fontId="23" fillId="0" borderId="18" xfId="0" applyFont="1" applyBorder="1"/>
    <xf numFmtId="0" fontId="31" fillId="0" borderId="14" xfId="0" applyFont="1" applyBorder="1" applyAlignment="1">
      <alignment wrapText="1"/>
    </xf>
    <xf numFmtId="0" fontId="31" fillId="0" borderId="0" xfId="0" applyFont="1" applyFill="1" applyBorder="1"/>
    <xf numFmtId="177" fontId="31" fillId="0" borderId="5" xfId="4" applyNumberFormat="1" applyFont="1" applyFill="1" applyBorder="1" applyAlignment="1"/>
    <xf numFmtId="0" fontId="31" fillId="0" borderId="8" xfId="0" applyFont="1" applyBorder="1" applyAlignment="1"/>
    <xf numFmtId="177" fontId="31" fillId="0" borderId="7" xfId="4" applyNumberFormat="1" applyFont="1" applyBorder="1" applyAlignment="1"/>
    <xf numFmtId="177" fontId="31" fillId="0" borderId="5" xfId="4" applyNumberFormat="1" applyFont="1" applyBorder="1" applyAlignment="1"/>
    <xf numFmtId="0" fontId="31" fillId="0" borderId="14" xfId="0" applyFont="1" applyBorder="1" applyAlignment="1"/>
    <xf numFmtId="41" fontId="31" fillId="0" borderId="5" xfId="4" applyNumberFormat="1" applyFont="1" applyFill="1" applyBorder="1" applyAlignment="1"/>
    <xf numFmtId="177" fontId="31" fillId="0" borderId="14" xfId="4" applyNumberFormat="1" applyFont="1" applyFill="1" applyBorder="1" applyAlignment="1"/>
    <xf numFmtId="41" fontId="31" fillId="0" borderId="5" xfId="0" applyNumberFormat="1" applyFont="1" applyBorder="1"/>
    <xf numFmtId="0" fontId="5" fillId="0" borderId="0" xfId="0" applyFont="1" applyBorder="1" applyAlignment="1">
      <alignment horizontal="center"/>
    </xf>
    <xf numFmtId="0" fontId="5" fillId="0" borderId="0" xfId="0" applyFont="1" applyBorder="1" applyAlignment="1">
      <alignment horizontal="center" vertical="top"/>
    </xf>
    <xf numFmtId="0" fontId="5" fillId="0" borderId="0" xfId="0" applyFont="1" applyBorder="1" applyAlignment="1">
      <alignment horizontal="center" vertical="top" wrapText="1"/>
    </xf>
    <xf numFmtId="177" fontId="5" fillId="0" borderId="5" xfId="4" applyNumberFormat="1" applyFont="1" applyBorder="1" applyAlignment="1"/>
    <xf numFmtId="0" fontId="6" fillId="0" borderId="21" xfId="0" applyFont="1" applyBorder="1" applyAlignment="1">
      <alignment horizontal="left"/>
    </xf>
    <xf numFmtId="0" fontId="48" fillId="0" borderId="5" xfId="0" applyFont="1" applyFill="1" applyBorder="1"/>
    <xf numFmtId="0" fontId="5" fillId="0" borderId="5" xfId="0" applyFont="1" applyBorder="1" applyAlignment="1">
      <alignment vertical="top" wrapText="1"/>
    </xf>
    <xf numFmtId="0" fontId="3" fillId="0" borderId="5" xfId="0" applyFont="1" applyBorder="1" applyAlignment="1">
      <alignment vertical="top" wrapText="1"/>
    </xf>
    <xf numFmtId="177" fontId="5" fillId="0" borderId="5" xfId="4" applyNumberFormat="1" applyFont="1" applyBorder="1" applyAlignment="1">
      <alignment vertical="top" wrapText="1"/>
    </xf>
    <xf numFmtId="0" fontId="31" fillId="0" borderId="0" xfId="0" applyFont="1" applyBorder="1" applyAlignment="1"/>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7" fillId="0" borderId="0" xfId="0" applyFont="1"/>
    <xf numFmtId="0" fontId="13" fillId="0" borderId="0" xfId="0" applyFont="1"/>
    <xf numFmtId="41" fontId="5" fillId="0" borderId="21" xfId="5" applyFont="1" applyFill="1" applyBorder="1"/>
    <xf numFmtId="0" fontId="31" fillId="0" borderId="14" xfId="0" applyFont="1" applyBorder="1"/>
    <xf numFmtId="0" fontId="28" fillId="0" borderId="8" xfId="0" applyFont="1" applyBorder="1" applyAlignment="1"/>
    <xf numFmtId="0" fontId="36" fillId="0" borderId="0" xfId="0" applyFont="1"/>
    <xf numFmtId="2" fontId="5" fillId="0" borderId="11" xfId="0" applyNumberFormat="1" applyFont="1" applyBorder="1" applyAlignment="1">
      <alignment wrapText="1"/>
    </xf>
    <xf numFmtId="0" fontId="5" fillId="0" borderId="9" xfId="0" applyFont="1" applyBorder="1" applyAlignment="1">
      <alignment horizontal="distributed" vertical="center" wrapText="1"/>
    </xf>
    <xf numFmtId="0" fontId="5" fillId="0" borderId="40" xfId="0" applyFont="1" applyBorder="1" applyAlignment="1">
      <alignment horizontal="center" vertical="center" wrapText="1"/>
    </xf>
    <xf numFmtId="0" fontId="5" fillId="0" borderId="41" xfId="0" applyFont="1" applyBorder="1" applyAlignment="1">
      <alignment horizontal="distributed" vertical="center" wrapText="1"/>
    </xf>
    <xf numFmtId="0" fontId="5" fillId="0" borderId="21" xfId="0" applyFont="1" applyBorder="1" applyAlignment="1">
      <alignment horizontal="justify" vertical="top" wrapText="1"/>
    </xf>
    <xf numFmtId="0" fontId="5" fillId="0" borderId="22" xfId="0" applyFont="1" applyBorder="1" applyAlignment="1">
      <alignment horizontal="justify" vertical="top" wrapText="1"/>
    </xf>
    <xf numFmtId="0" fontId="5" fillId="0" borderId="21" xfId="0" applyFont="1" applyBorder="1" applyAlignment="1">
      <alignment horizontal="left" vertical="top"/>
    </xf>
    <xf numFmtId="0" fontId="5" fillId="0" borderId="21" xfId="0" applyFont="1" applyBorder="1" applyAlignment="1">
      <alignment horizontal="left" vertical="top" wrapText="1"/>
    </xf>
    <xf numFmtId="0" fontId="12" fillId="0" borderId="21" xfId="0" applyFont="1" applyBorder="1" applyAlignment="1">
      <alignment horizontal="left"/>
    </xf>
    <xf numFmtId="0" fontId="5" fillId="0" borderId="21" xfId="0" applyFont="1" applyBorder="1" applyAlignment="1">
      <alignment horizontal="left" indent="2"/>
    </xf>
    <xf numFmtId="0" fontId="5" fillId="0" borderId="31" xfId="0" applyFont="1" applyBorder="1" applyAlignment="1">
      <alignment horizontal="center" vertical="center" wrapText="1" shrinkToFit="1"/>
    </xf>
    <xf numFmtId="0" fontId="5" fillId="0" borderId="10" xfId="0" applyFont="1" applyBorder="1" applyAlignment="1">
      <alignment horizontal="distributed" vertical="center"/>
    </xf>
    <xf numFmtId="0" fontId="5" fillId="0" borderId="8" xfId="0" applyFont="1" applyBorder="1" applyAlignment="1">
      <alignment vertical="top" wrapText="1"/>
    </xf>
    <xf numFmtId="0" fontId="33" fillId="0" borderId="0" xfId="0" applyFont="1" applyBorder="1"/>
    <xf numFmtId="0" fontId="7" fillId="0" borderId="0" xfId="0"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0" fontId="5" fillId="0" borderId="12" xfId="0" applyFont="1" applyBorder="1" applyAlignment="1">
      <alignment horizontal="center" vertical="center"/>
    </xf>
    <xf numFmtId="41" fontId="5" fillId="0" borderId="7" xfId="0" applyNumberFormat="1" applyFont="1" applyBorder="1" applyAlignment="1">
      <alignment vertical="top" wrapText="1"/>
    </xf>
    <xf numFmtId="178" fontId="5" fillId="0" borderId="7" xfId="4" applyNumberFormat="1" applyFont="1" applyBorder="1" applyAlignment="1">
      <alignment horizontal="right" wrapText="1"/>
    </xf>
    <xf numFmtId="178" fontId="5" fillId="0" borderId="7" xfId="0" applyNumberFormat="1" applyFont="1" applyBorder="1" applyAlignment="1">
      <alignment wrapText="1"/>
    </xf>
    <xf numFmtId="178" fontId="5" fillId="0" borderId="7" xfId="0" applyNumberFormat="1" applyFont="1" applyBorder="1" applyAlignment="1">
      <alignment vertical="top" wrapText="1"/>
    </xf>
    <xf numFmtId="182" fontId="5" fillId="0" borderId="7" xfId="0" applyNumberFormat="1" applyFont="1" applyBorder="1" applyAlignment="1">
      <alignment wrapText="1"/>
    </xf>
    <xf numFmtId="182" fontId="5" fillId="0" borderId="7" xfId="0" applyNumberFormat="1" applyFont="1" applyBorder="1" applyAlignment="1">
      <alignment vertical="top" wrapText="1"/>
    </xf>
    <xf numFmtId="182" fontId="5" fillId="0" borderId="14" xfId="0" applyNumberFormat="1" applyFont="1" applyBorder="1" applyAlignment="1">
      <alignment wrapText="1"/>
    </xf>
    <xf numFmtId="182" fontId="5" fillId="0" borderId="14" xfId="0" applyNumberFormat="1" applyFont="1" applyBorder="1" applyAlignment="1">
      <alignment vertical="top" wrapText="1"/>
    </xf>
    <xf numFmtId="182" fontId="5" fillId="0" borderId="11" xfId="0" applyNumberFormat="1" applyFont="1" applyBorder="1" applyAlignment="1">
      <alignment vertical="top" wrapText="1"/>
    </xf>
    <xf numFmtId="0" fontId="23" fillId="0" borderId="25" xfId="0" applyFont="1" applyBorder="1" applyAlignment="1">
      <alignment horizontal="center" vertical="center" wrapText="1"/>
    </xf>
    <xf numFmtId="49" fontId="5" fillId="0" borderId="21" xfId="0" applyNumberFormat="1" applyFont="1" applyBorder="1" applyAlignment="1">
      <alignment horizontal="left" vertical="center"/>
    </xf>
    <xf numFmtId="49" fontId="5"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2" fillId="0" borderId="21" xfId="0" applyFont="1" applyBorder="1" applyAlignment="1">
      <alignment horizontal="left" vertical="top"/>
    </xf>
    <xf numFmtId="177" fontId="5" fillId="0" borderId="5" xfId="4" applyNumberFormat="1" applyFont="1" applyBorder="1" applyAlignment="1">
      <alignment vertical="top"/>
    </xf>
    <xf numFmtId="0" fontId="5" fillId="0" borderId="14" xfId="0" applyFont="1" applyBorder="1" applyAlignment="1">
      <alignment vertical="top"/>
    </xf>
    <xf numFmtId="0" fontId="12" fillId="0" borderId="37" xfId="0" applyFont="1" applyBorder="1" applyAlignment="1">
      <alignment horizontal="left" vertical="top"/>
    </xf>
    <xf numFmtId="177" fontId="5" fillId="2" borderId="5" xfId="4" applyNumberFormat="1" applyFont="1" applyFill="1" applyBorder="1" applyAlignment="1">
      <alignment vertical="top"/>
    </xf>
    <xf numFmtId="0" fontId="5" fillId="0" borderId="21" xfId="0" applyFont="1" applyFill="1" applyBorder="1" applyAlignment="1">
      <alignment horizontal="left" vertical="top"/>
    </xf>
    <xf numFmtId="0" fontId="65" fillId="0" borderId="5" xfId="0" applyFont="1" applyFill="1" applyBorder="1"/>
    <xf numFmtId="177" fontId="31" fillId="0" borderId="17" xfId="4" applyNumberFormat="1" applyFont="1" applyFill="1" applyBorder="1"/>
    <xf numFmtId="176" fontId="11" fillId="0" borderId="24" xfId="0" applyNumberFormat="1" applyFont="1" applyFill="1" applyBorder="1"/>
    <xf numFmtId="0" fontId="12" fillId="0" borderId="24" xfId="0" applyFont="1" applyFill="1" applyBorder="1"/>
    <xf numFmtId="176" fontId="9" fillId="0" borderId="5" xfId="0" applyNumberFormat="1" applyFont="1" applyFill="1" applyBorder="1"/>
    <xf numFmtId="0" fontId="3" fillId="0" borderId="5" xfId="0" applyFont="1" applyFill="1" applyBorder="1"/>
    <xf numFmtId="177" fontId="9" fillId="0" borderId="5" xfId="4" applyNumberFormat="1" applyFont="1" applyFill="1" applyBorder="1"/>
    <xf numFmtId="41" fontId="9" fillId="0" borderId="5" xfId="0" applyNumberFormat="1" applyFont="1" applyFill="1" applyBorder="1"/>
    <xf numFmtId="0" fontId="3" fillId="0" borderId="6" xfId="0" applyFont="1" applyFill="1" applyBorder="1"/>
    <xf numFmtId="176" fontId="11" fillId="0" borderId="5" xfId="0" applyNumberFormat="1" applyFont="1" applyFill="1" applyBorder="1"/>
    <xf numFmtId="0" fontId="12" fillId="0" borderId="5" xfId="0" applyFont="1" applyFill="1" applyBorder="1"/>
    <xf numFmtId="177" fontId="11" fillId="0" borderId="5" xfId="4" applyNumberFormat="1" applyFont="1" applyFill="1" applyBorder="1"/>
    <xf numFmtId="0" fontId="5" fillId="0" borderId="5" xfId="0" applyFont="1" applyFill="1" applyBorder="1"/>
    <xf numFmtId="0" fontId="5" fillId="0" borderId="21" xfId="0" applyFont="1" applyBorder="1" applyAlignment="1">
      <alignment horizontal="left" wrapText="1" indent="1"/>
    </xf>
    <xf numFmtId="0" fontId="31" fillId="0" borderId="21"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11" xfId="0" applyFont="1" applyBorder="1" applyAlignment="1"/>
    <xf numFmtId="41" fontId="11" fillId="0" borderId="24" xfId="0" applyNumberFormat="1" applyFont="1" applyFill="1" applyBorder="1"/>
    <xf numFmtId="41" fontId="11" fillId="0" borderId="5" xfId="0" applyNumberFormat="1" applyFont="1" applyFill="1" applyBorder="1"/>
    <xf numFmtId="43" fontId="11" fillId="0" borderId="30" xfId="0" applyNumberFormat="1" applyFont="1" applyFill="1" applyBorder="1"/>
    <xf numFmtId="43" fontId="9" fillId="0" borderId="14" xfId="0" applyNumberFormat="1" applyFont="1" applyFill="1" applyBorder="1"/>
    <xf numFmtId="43" fontId="11" fillId="0" borderId="14" xfId="0" applyNumberFormat="1" applyFont="1" applyFill="1" applyBorder="1"/>
    <xf numFmtId="177" fontId="28" fillId="0" borderId="5" xfId="4" applyNumberFormat="1" applyFont="1" applyFill="1" applyBorder="1" applyAlignment="1"/>
    <xf numFmtId="177" fontId="24" fillId="0" borderId="11" xfId="4" applyNumberFormat="1" applyFont="1" applyFill="1" applyBorder="1" applyAlignment="1"/>
    <xf numFmtId="0" fontId="24" fillId="0" borderId="0" xfId="0" applyFont="1" applyAlignment="1"/>
    <xf numFmtId="0" fontId="31" fillId="0" borderId="7" xfId="0" applyFont="1" applyFill="1" applyBorder="1" applyAlignment="1"/>
    <xf numFmtId="0" fontId="30" fillId="0" borderId="0" xfId="0" applyFont="1" applyAlignment="1"/>
    <xf numFmtId="0" fontId="28" fillId="0" borderId="7" xfId="0" applyFont="1" applyFill="1" applyBorder="1" applyAlignment="1"/>
    <xf numFmtId="177" fontId="5" fillId="0" borderId="5" xfId="4" applyNumberFormat="1" applyFont="1" applyFill="1" applyBorder="1" applyAlignment="1"/>
    <xf numFmtId="0" fontId="63" fillId="0" borderId="17" xfId="0" applyFont="1" applyFill="1" applyBorder="1" applyAlignment="1">
      <alignment horizontal="center" vertical="center"/>
    </xf>
    <xf numFmtId="177" fontId="31" fillId="0" borderId="11" xfId="4" applyNumberFormat="1" applyFont="1" applyFill="1" applyBorder="1" applyAlignment="1"/>
    <xf numFmtId="177" fontId="24" fillId="0" borderId="16" xfId="4" applyNumberFormat="1" applyFont="1" applyFill="1" applyBorder="1" applyAlignment="1"/>
    <xf numFmtId="0" fontId="32" fillId="0" borderId="0" xfId="0" applyFont="1" applyAlignment="1"/>
    <xf numFmtId="177" fontId="31" fillId="0" borderId="21" xfId="4" applyNumberFormat="1" applyFont="1" applyFill="1" applyBorder="1" applyAlignment="1"/>
    <xf numFmtId="0" fontId="33" fillId="0" borderId="6" xfId="0" applyFont="1" applyFill="1" applyBorder="1" applyAlignment="1"/>
    <xf numFmtId="0" fontId="32" fillId="0" borderId="7" xfId="0" applyFont="1" applyFill="1" applyBorder="1" applyAlignment="1"/>
    <xf numFmtId="0" fontId="32" fillId="0" borderId="20" xfId="0" applyFont="1" applyBorder="1" applyAlignment="1"/>
    <xf numFmtId="0" fontId="5" fillId="0" borderId="3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vertical="center"/>
    </xf>
    <xf numFmtId="0" fontId="0" fillId="0" borderId="7" xfId="0" applyBorder="1" applyAlignment="1">
      <alignment horizontal="center" vertical="center" wrapText="1"/>
    </xf>
    <xf numFmtId="0" fontId="23" fillId="0" borderId="7" xfId="0" applyFont="1" applyBorder="1" applyAlignment="1">
      <alignment horizontal="justify" vertical="center" wrapText="1"/>
    </xf>
    <xf numFmtId="0" fontId="24"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71" fillId="0" borderId="7" xfId="0" applyFont="1" applyBorder="1" applyAlignment="1">
      <alignment horizontal="center" vertical="center" wrapText="1"/>
    </xf>
    <xf numFmtId="0" fontId="23" fillId="0" borderId="7" xfId="0" applyFont="1" applyBorder="1" applyAlignment="1">
      <alignment horizontal="center" vertical="center" wrapText="1"/>
    </xf>
    <xf numFmtId="178" fontId="5" fillId="0" borderId="5" xfId="0" applyNumberFormat="1" applyFont="1" applyBorder="1" applyAlignment="1">
      <alignment vertical="center"/>
    </xf>
    <xf numFmtId="178" fontId="5" fillId="0" borderId="14" xfId="0" applyNumberFormat="1" applyFont="1" applyBorder="1" applyAlignment="1">
      <alignment vertical="center"/>
    </xf>
    <xf numFmtId="0" fontId="5" fillId="0" borderId="21" xfId="0" applyFont="1" applyBorder="1" applyAlignment="1">
      <alignment vertical="center"/>
    </xf>
    <xf numFmtId="0" fontId="5" fillId="0" borderId="5" xfId="0" applyFont="1" applyBorder="1" applyAlignment="1">
      <alignment vertical="center"/>
    </xf>
    <xf numFmtId="0" fontId="3" fillId="0" borderId="21" xfId="0" applyFont="1" applyBorder="1" applyAlignment="1">
      <alignment vertical="center"/>
    </xf>
    <xf numFmtId="0" fontId="9" fillId="0" borderId="40" xfId="0" applyFont="1" applyBorder="1" applyAlignment="1">
      <alignment horizontal="center" vertical="center" wrapText="1"/>
    </xf>
    <xf numFmtId="0" fontId="9" fillId="0" borderId="31" xfId="0" applyFont="1" applyBorder="1" applyAlignment="1">
      <alignment horizontal="center" vertical="center" wrapText="1"/>
    </xf>
    <xf numFmtId="0" fontId="12" fillId="0" borderId="0" xfId="0" applyFont="1"/>
    <xf numFmtId="0" fontId="12" fillId="0" borderId="21" xfId="0" applyFont="1" applyBorder="1" applyAlignment="1">
      <alignment vertical="top" wrapText="1"/>
    </xf>
    <xf numFmtId="177" fontId="12" fillId="0" borderId="5" xfId="4" applyNumberFormat="1" applyFont="1" applyBorder="1" applyAlignment="1">
      <alignment horizontal="center" vertical="top" wrapText="1"/>
    </xf>
    <xf numFmtId="0" fontId="12" fillId="0" borderId="14" xfId="0" applyFont="1" applyBorder="1" applyAlignment="1">
      <alignment vertical="top" wrapText="1"/>
    </xf>
    <xf numFmtId="0" fontId="12" fillId="0" borderId="0" xfId="0" applyFont="1" applyAlignment="1">
      <alignment vertical="top"/>
    </xf>
    <xf numFmtId="0" fontId="12" fillId="0" borderId="22" xfId="0" applyFont="1" applyBorder="1" applyAlignment="1">
      <alignment horizontal="center" vertical="center" wrapText="1"/>
    </xf>
    <xf numFmtId="177" fontId="12" fillId="0" borderId="17" xfId="0" applyNumberFormat="1" applyFont="1" applyBorder="1" applyAlignment="1">
      <alignment vertical="center" wrapText="1"/>
    </xf>
    <xf numFmtId="0" fontId="12" fillId="0" borderId="18" xfId="0" applyFont="1" applyBorder="1" applyAlignment="1">
      <alignment vertical="center" wrapText="1"/>
    </xf>
    <xf numFmtId="0" fontId="12" fillId="0" borderId="0" xfId="0" applyFont="1" applyAlignment="1">
      <alignment vertical="center"/>
    </xf>
    <xf numFmtId="0" fontId="28" fillId="0" borderId="21" xfId="0" applyFont="1" applyBorder="1" applyAlignment="1">
      <alignment vertical="top" wrapText="1"/>
    </xf>
    <xf numFmtId="178" fontId="12" fillId="0" borderId="7" xfId="4" applyNumberFormat="1" applyFont="1" applyBorder="1" applyAlignment="1">
      <alignment horizontal="right" vertical="top" wrapText="1"/>
    </xf>
    <xf numFmtId="178" fontId="12" fillId="0" borderId="7" xfId="4" applyNumberFormat="1" applyFont="1" applyBorder="1" applyAlignment="1">
      <alignment vertical="top" wrapText="1"/>
    </xf>
    <xf numFmtId="178" fontId="12" fillId="0" borderId="7" xfId="0" applyNumberFormat="1" applyFont="1" applyBorder="1" applyAlignment="1">
      <alignment vertical="top" wrapText="1"/>
    </xf>
    <xf numFmtId="182" fontId="12" fillId="0" borderId="7" xfId="0" applyNumberFormat="1" applyFont="1" applyBorder="1" applyAlignment="1">
      <alignment vertical="top" wrapText="1"/>
    </xf>
    <xf numFmtId="41" fontId="12" fillId="0" borderId="7" xfId="0" applyNumberFormat="1" applyFont="1" applyBorder="1" applyAlignment="1">
      <alignment vertical="top" wrapText="1"/>
    </xf>
    <xf numFmtId="0" fontId="28" fillId="0" borderId="22" xfId="0" applyFont="1" applyBorder="1" applyAlignment="1">
      <alignment horizontal="center" vertical="center" wrapText="1"/>
    </xf>
    <xf numFmtId="178" fontId="12" fillId="0" borderId="27" xfId="4" applyNumberFormat="1" applyFont="1" applyBorder="1" applyAlignment="1">
      <alignment vertical="center" wrapText="1"/>
    </xf>
    <xf numFmtId="178" fontId="12" fillId="0" borderId="27" xfId="0" applyNumberFormat="1" applyFont="1" applyBorder="1" applyAlignment="1">
      <alignment vertical="center" wrapText="1"/>
    </xf>
    <xf numFmtId="182" fontId="12" fillId="0" borderId="27" xfId="0" applyNumberFormat="1" applyFont="1" applyBorder="1" applyAlignment="1">
      <alignment vertical="center" wrapText="1"/>
    </xf>
    <xf numFmtId="41" fontId="12" fillId="0" borderId="27" xfId="0" applyNumberFormat="1" applyFont="1" applyBorder="1" applyAlignment="1">
      <alignment vertical="center" wrapText="1"/>
    </xf>
    <xf numFmtId="182" fontId="12" fillId="0" borderId="18" xfId="0" applyNumberFormat="1" applyFont="1" applyBorder="1" applyAlignment="1">
      <alignment vertical="center" wrapText="1"/>
    </xf>
    <xf numFmtId="182" fontId="12" fillId="0" borderId="14" xfId="0" applyNumberFormat="1" applyFont="1" applyBorder="1" applyAlignment="1">
      <alignment vertical="top" wrapText="1"/>
    </xf>
    <xf numFmtId="0" fontId="28" fillId="0" borderId="21" xfId="0" applyFont="1" applyBorder="1" applyAlignment="1">
      <alignment horizontal="justify" wrapText="1"/>
    </xf>
    <xf numFmtId="177" fontId="12" fillId="0" borderId="7" xfId="0" applyNumberFormat="1" applyFont="1" applyBorder="1" applyAlignment="1">
      <alignment horizontal="right" wrapText="1"/>
    </xf>
    <xf numFmtId="0" fontId="12" fillId="0" borderId="5" xfId="0" applyFont="1" applyBorder="1" applyAlignment="1">
      <alignment wrapText="1"/>
    </xf>
    <xf numFmtId="0" fontId="12" fillId="0" borderId="0" xfId="0" applyFont="1" applyBorder="1" applyAlignment="1">
      <alignment wrapText="1"/>
    </xf>
    <xf numFmtId="0" fontId="12" fillId="0" borderId="24" xfId="0" applyFont="1" applyBorder="1" applyAlignment="1">
      <alignment wrapText="1"/>
    </xf>
    <xf numFmtId="0" fontId="12" fillId="0" borderId="7" xfId="0" applyFont="1" applyBorder="1" applyAlignment="1">
      <alignment wrapText="1"/>
    </xf>
    <xf numFmtId="2" fontId="12" fillId="0" borderId="7" xfId="0" applyNumberFormat="1" applyFont="1" applyBorder="1" applyAlignment="1">
      <alignment wrapText="1"/>
    </xf>
    <xf numFmtId="2" fontId="12" fillId="0" borderId="11" xfId="0" applyNumberFormat="1" applyFont="1" applyBorder="1" applyAlignment="1">
      <alignment wrapText="1"/>
    </xf>
    <xf numFmtId="0" fontId="64" fillId="0" borderId="0" xfId="0" applyFont="1"/>
    <xf numFmtId="0" fontId="12" fillId="0" borderId="21" xfId="0" applyFont="1" applyBorder="1" applyAlignment="1">
      <alignment vertical="center"/>
    </xf>
    <xf numFmtId="0" fontId="12" fillId="0" borderId="5" xfId="0" applyFont="1" applyBorder="1" applyAlignment="1">
      <alignment vertical="center"/>
    </xf>
    <xf numFmtId="178" fontId="12" fillId="0" borderId="5" xfId="0" applyNumberFormat="1" applyFont="1" applyBorder="1" applyAlignment="1">
      <alignment vertical="center"/>
    </xf>
    <xf numFmtId="178" fontId="12" fillId="0" borderId="14" xfId="0" applyNumberFormat="1" applyFont="1" applyBorder="1" applyAlignment="1">
      <alignment vertical="center"/>
    </xf>
    <xf numFmtId="177" fontId="28" fillId="0" borderId="24" xfId="4" applyNumberFormat="1" applyFont="1" applyFill="1" applyBorder="1" applyAlignment="1"/>
    <xf numFmtId="177" fontId="28" fillId="0" borderId="14" xfId="4" applyNumberFormat="1" applyFont="1" applyFill="1" applyBorder="1" applyAlignment="1"/>
    <xf numFmtId="0" fontId="12" fillId="0" borderId="0" xfId="0" applyFont="1" applyBorder="1" applyAlignment="1">
      <alignment horizontal="center" vertical="top"/>
    </xf>
    <xf numFmtId="177" fontId="12" fillId="0" borderId="24" xfId="4" applyNumberFormat="1" applyFont="1" applyBorder="1" applyAlignment="1">
      <alignment vertical="top"/>
    </xf>
    <xf numFmtId="0" fontId="10" fillId="0" borderId="30" xfId="0" applyFont="1" applyBorder="1" applyAlignment="1">
      <alignment horizontal="left" vertical="top"/>
    </xf>
    <xf numFmtId="177" fontId="12" fillId="0" borderId="5" xfId="4" applyNumberFormat="1" applyFont="1" applyBorder="1" applyAlignment="1">
      <alignment vertical="top"/>
    </xf>
    <xf numFmtId="0" fontId="12" fillId="0" borderId="14" xfId="0" applyFont="1" applyBorder="1" applyAlignment="1">
      <alignment vertical="top"/>
    </xf>
    <xf numFmtId="0" fontId="8" fillId="0" borderId="11" xfId="0" applyFont="1" applyBorder="1" applyAlignment="1">
      <alignment horizontal="justify" vertical="top" wrapText="1"/>
    </xf>
    <xf numFmtId="0" fontId="12" fillId="0" borderId="23" xfId="0" applyFont="1" applyBorder="1" applyAlignment="1">
      <alignment horizontal="center" wrapText="1"/>
    </xf>
    <xf numFmtId="0" fontId="12" fillId="0" borderId="17" xfId="0" applyFont="1" applyBorder="1" applyAlignment="1">
      <alignment wrapText="1"/>
    </xf>
    <xf numFmtId="177" fontId="12" fillId="0" borderId="17" xfId="0" applyNumberFormat="1" applyFont="1" applyBorder="1" applyAlignment="1">
      <alignment wrapText="1"/>
    </xf>
    <xf numFmtId="0" fontId="12" fillId="0" borderId="13" xfId="0" applyFont="1" applyBorder="1" applyAlignment="1">
      <alignment wrapText="1"/>
    </xf>
    <xf numFmtId="41" fontId="12" fillId="0" borderId="7" xfId="0" applyNumberFormat="1" applyFont="1" applyBorder="1" applyAlignment="1">
      <alignment horizontal="right" wrapText="1"/>
    </xf>
    <xf numFmtId="41" fontId="5" fillId="0" borderId="7" xfId="0" applyNumberFormat="1" applyFont="1" applyBorder="1" applyAlignment="1">
      <alignment horizontal="right" wrapText="1"/>
    </xf>
    <xf numFmtId="0" fontId="16" fillId="0" borderId="0" xfId="0" applyFont="1" applyAlignment="1">
      <alignment horizontal="center"/>
    </xf>
    <xf numFmtId="0" fontId="19" fillId="0" borderId="0" xfId="0" applyFont="1" applyAlignment="1">
      <alignment horizontal="center"/>
    </xf>
    <xf numFmtId="0" fontId="17" fillId="0" borderId="0" xfId="0" applyFont="1" applyAlignment="1">
      <alignment horizontal="center"/>
    </xf>
    <xf numFmtId="0" fontId="0" fillId="0" borderId="0" xfId="0" applyAlignment="1">
      <alignment horizontal="center" vertical="top"/>
    </xf>
    <xf numFmtId="177" fontId="35" fillId="0" borderId="24" xfId="4" applyNumberFormat="1" applyFont="1" applyFill="1" applyBorder="1" applyAlignment="1">
      <alignment horizontal="center"/>
    </xf>
    <xf numFmtId="177" fontId="35" fillId="0" borderId="5" xfId="4" applyNumberFormat="1" applyFont="1" applyFill="1" applyBorder="1" applyAlignment="1">
      <alignment horizontal="center"/>
    </xf>
    <xf numFmtId="177" fontId="28" fillId="0" borderId="17" xfId="4" applyNumberFormat="1" applyFont="1" applyFill="1" applyBorder="1" applyAlignment="1"/>
    <xf numFmtId="177" fontId="5" fillId="0" borderId="0" xfId="0" applyNumberFormat="1" applyFont="1"/>
    <xf numFmtId="177" fontId="35" fillId="0" borderId="17" xfId="4" applyNumberFormat="1" applyFont="1" applyFill="1" applyBorder="1" applyAlignment="1">
      <alignment horizontal="center"/>
    </xf>
    <xf numFmtId="177" fontId="31" fillId="0" borderId="5" xfId="4" applyNumberFormat="1" applyFont="1" applyFill="1" applyBorder="1" applyAlignment="1">
      <alignment horizontal="left" indent="1"/>
    </xf>
    <xf numFmtId="41" fontId="31" fillId="0" borderId="5" xfId="4" applyNumberFormat="1" applyFont="1" applyFill="1" applyBorder="1" applyAlignment="1">
      <alignment horizontal="left" indent="2"/>
    </xf>
    <xf numFmtId="41" fontId="31" fillId="0" borderId="5" xfId="4" applyNumberFormat="1" applyFont="1" applyFill="1" applyBorder="1" applyAlignment="1">
      <alignment horizontal="left" vertical="top" wrapText="1" indent="2"/>
    </xf>
    <xf numFmtId="0" fontId="31" fillId="0" borderId="0" xfId="0" applyFont="1" applyAlignment="1">
      <alignment vertical="top"/>
    </xf>
    <xf numFmtId="41" fontId="31" fillId="0" borderId="5" xfId="0" applyNumberFormat="1" applyFont="1" applyFill="1" applyBorder="1" applyAlignment="1">
      <alignment vertical="top"/>
    </xf>
    <xf numFmtId="41" fontId="31" fillId="0" borderId="5" xfId="0" applyNumberFormat="1" applyFont="1" applyFill="1" applyBorder="1" applyAlignment="1">
      <alignment horizontal="left" vertical="center" indent="2"/>
    </xf>
    <xf numFmtId="41" fontId="31" fillId="0" borderId="5" xfId="0" applyNumberFormat="1" applyFont="1" applyFill="1" applyBorder="1" applyAlignment="1">
      <alignment vertical="center"/>
    </xf>
    <xf numFmtId="41" fontId="31" fillId="0" borderId="5" xfId="4" applyNumberFormat="1" applyFont="1" applyFill="1" applyBorder="1" applyAlignment="1">
      <alignment vertical="center"/>
    </xf>
    <xf numFmtId="0" fontId="31" fillId="0" borderId="0" xfId="0" applyFont="1" applyAlignment="1">
      <alignment vertical="center"/>
    </xf>
    <xf numFmtId="41" fontId="31" fillId="0" borderId="5" xfId="4" applyNumberFormat="1" applyFont="1" applyFill="1" applyBorder="1" applyAlignment="1">
      <alignment horizontal="left" vertical="center" indent="2"/>
    </xf>
    <xf numFmtId="41" fontId="31" fillId="0" borderId="5" xfId="4" applyNumberFormat="1" applyFont="1" applyFill="1" applyBorder="1" applyAlignment="1">
      <alignment horizontal="left" indent="1"/>
    </xf>
    <xf numFmtId="0" fontId="31" fillId="0" borderId="8" xfId="0" applyFont="1" applyFill="1" applyBorder="1" applyAlignment="1">
      <alignment horizontal="left"/>
    </xf>
    <xf numFmtId="0" fontId="31" fillId="0" borderId="6" xfId="0" applyFont="1" applyFill="1" applyBorder="1" applyAlignment="1">
      <alignment horizontal="left"/>
    </xf>
    <xf numFmtId="0" fontId="30" fillId="0" borderId="0" xfId="0" applyFont="1" applyBorder="1" applyAlignment="1"/>
    <xf numFmtId="0" fontId="25" fillId="0" borderId="0" xfId="0" applyFont="1" applyBorder="1" applyAlignment="1"/>
    <xf numFmtId="177" fontId="31" fillId="0" borderId="20" xfId="0" applyNumberFormat="1" applyFont="1" applyFill="1" applyBorder="1"/>
    <xf numFmtId="0" fontId="24" fillId="0" borderId="8" xfId="0" applyFont="1" applyFill="1" applyBorder="1" applyAlignment="1">
      <alignment horizontal="left"/>
    </xf>
    <xf numFmtId="0" fontId="31" fillId="0" borderId="0" xfId="0" applyFont="1" applyFill="1" applyBorder="1" applyAlignment="1"/>
    <xf numFmtId="177" fontId="31" fillId="0" borderId="14" xfId="4" applyNumberFormat="1" applyFont="1" applyFill="1" applyBorder="1"/>
    <xf numFmtId="0" fontId="28" fillId="0" borderId="5" xfId="0" applyFont="1" applyFill="1" applyBorder="1" applyAlignment="1">
      <alignment wrapText="1"/>
    </xf>
    <xf numFmtId="177" fontId="28" fillId="0" borderId="7" xfId="4" applyNumberFormat="1" applyFont="1" applyFill="1" applyBorder="1"/>
    <xf numFmtId="177" fontId="28" fillId="0" borderId="21" xfId="4" applyNumberFormat="1" applyFont="1" applyFill="1" applyBorder="1"/>
    <xf numFmtId="177" fontId="24" fillId="0" borderId="20" xfId="4" applyNumberFormat="1" applyFont="1" applyFill="1" applyBorder="1"/>
    <xf numFmtId="178" fontId="5" fillId="0" borderId="48" xfId="0" applyNumberFormat="1" applyFont="1" applyBorder="1" applyAlignment="1">
      <alignment vertical="center"/>
    </xf>
    <xf numFmtId="177" fontId="5" fillId="0" borderId="5" xfId="4" applyNumberFormat="1" applyFont="1" applyFill="1" applyBorder="1" applyAlignment="1">
      <alignment vertical="top" wrapText="1"/>
    </xf>
    <xf numFmtId="0" fontId="30" fillId="0" borderId="0" xfId="0" applyFont="1" applyFill="1" applyBorder="1" applyAlignment="1"/>
    <xf numFmtId="0" fontId="31" fillId="0" borderId="31" xfId="0" applyFont="1" applyBorder="1" applyAlignment="1">
      <alignment horizontal="center" vertical="center"/>
    </xf>
    <xf numFmtId="177" fontId="28" fillId="0" borderId="37" xfId="4" applyNumberFormat="1" applyFont="1" applyFill="1" applyBorder="1" applyAlignment="1"/>
    <xf numFmtId="177" fontId="28" fillId="0" borderId="30" xfId="4" applyNumberFormat="1" applyFont="1" applyFill="1" applyBorder="1" applyAlignment="1"/>
    <xf numFmtId="41" fontId="31" fillId="0" borderId="21" xfId="4" applyNumberFormat="1" applyFont="1" applyFill="1" applyBorder="1" applyAlignment="1"/>
    <xf numFmtId="41" fontId="31" fillId="0" borderId="21" xfId="4" applyNumberFormat="1" applyFont="1" applyFill="1" applyBorder="1" applyAlignment="1">
      <alignment vertical="center"/>
    </xf>
    <xf numFmtId="41" fontId="31" fillId="0" borderId="21" xfId="4" applyNumberFormat="1" applyFont="1" applyFill="1" applyBorder="1" applyAlignment="1">
      <alignment vertical="top"/>
    </xf>
    <xf numFmtId="41" fontId="31" fillId="0" borderId="21" xfId="0" applyNumberFormat="1" applyFont="1" applyFill="1" applyBorder="1" applyAlignment="1">
      <alignment vertical="center"/>
    </xf>
    <xf numFmtId="41" fontId="31" fillId="0" borderId="21" xfId="0" applyNumberFormat="1" applyFont="1" applyFill="1" applyBorder="1" applyAlignment="1">
      <alignment vertical="top"/>
    </xf>
    <xf numFmtId="177" fontId="28" fillId="0" borderId="21" xfId="4" applyNumberFormat="1" applyFont="1" applyFill="1" applyBorder="1" applyAlignment="1"/>
    <xf numFmtId="41" fontId="31" fillId="0" borderId="21" xfId="4" applyNumberFormat="1" applyFont="1" applyFill="1" applyBorder="1"/>
    <xf numFmtId="41" fontId="31" fillId="0" borderId="21" xfId="0" applyNumberFormat="1" applyFont="1" applyBorder="1"/>
    <xf numFmtId="177" fontId="28" fillId="0" borderId="22" xfId="4" applyNumberFormat="1" applyFont="1" applyFill="1" applyBorder="1" applyAlignment="1"/>
    <xf numFmtId="177" fontId="28" fillId="0" borderId="18" xfId="4" applyNumberFormat="1" applyFont="1" applyFill="1" applyBorder="1" applyAlignment="1"/>
    <xf numFmtId="0" fontId="5" fillId="0" borderId="5" xfId="0" applyFont="1" applyFill="1" applyBorder="1" applyAlignment="1">
      <alignment vertical="top" wrapText="1"/>
    </xf>
    <xf numFmtId="177" fontId="5" fillId="0" borderId="7" xfId="4" applyNumberFormat="1" applyFont="1" applyFill="1" applyBorder="1" applyAlignment="1">
      <alignment horizontal="right" wrapText="1"/>
    </xf>
    <xf numFmtId="41" fontId="24" fillId="0" borderId="9" xfId="0" applyNumberFormat="1" applyFont="1" applyBorder="1" applyAlignment="1">
      <alignment horizontal="center" vertical="center" wrapText="1"/>
    </xf>
    <xf numFmtId="41" fontId="31" fillId="0" borderId="31" xfId="0" applyNumberFormat="1" applyFont="1" applyBorder="1" applyAlignment="1">
      <alignment horizontal="center" vertical="center" wrapText="1"/>
    </xf>
    <xf numFmtId="41" fontId="31" fillId="0" borderId="10" xfId="0" applyNumberFormat="1" applyFont="1" applyBorder="1" applyAlignment="1">
      <alignment horizontal="center" vertical="center" wrapText="1"/>
    </xf>
    <xf numFmtId="10" fontId="5" fillId="0" borderId="0" xfId="0" applyNumberFormat="1" applyFont="1"/>
    <xf numFmtId="0" fontId="37" fillId="0" borderId="0" xfId="0" applyFont="1" applyAlignment="1"/>
    <xf numFmtId="177" fontId="31" fillId="0" borderId="18" xfId="4" applyNumberFormat="1" applyFont="1" applyFill="1" applyBorder="1"/>
    <xf numFmtId="0" fontId="28" fillId="0" borderId="7" xfId="0" applyFont="1" applyFill="1" applyBorder="1"/>
    <xf numFmtId="0" fontId="28" fillId="0" borderId="0" xfId="0" applyFont="1" applyFill="1" applyBorder="1" applyAlignment="1"/>
    <xf numFmtId="0" fontId="28" fillId="0" borderId="7" xfId="0" applyFont="1" applyBorder="1" applyAlignment="1"/>
    <xf numFmtId="177" fontId="35" fillId="0" borderId="24" xfId="4" applyNumberFormat="1" applyFont="1" applyFill="1" applyBorder="1" applyAlignment="1">
      <alignment horizontal="center" vertical="center"/>
    </xf>
    <xf numFmtId="177" fontId="28" fillId="0" borderId="24" xfId="4" applyNumberFormat="1" applyFont="1" applyFill="1" applyBorder="1" applyAlignment="1">
      <alignment vertical="center"/>
    </xf>
    <xf numFmtId="177" fontId="28" fillId="0" borderId="30" xfId="4" applyNumberFormat="1" applyFont="1" applyFill="1" applyBorder="1" applyAlignment="1">
      <alignment vertical="center"/>
    </xf>
    <xf numFmtId="177" fontId="31" fillId="0" borderId="21" xfId="4" applyNumberFormat="1" applyFont="1" applyFill="1" applyBorder="1" applyAlignment="1">
      <alignment vertical="center"/>
    </xf>
    <xf numFmtId="177" fontId="31" fillId="0" borderId="5" xfId="4" applyNumberFormat="1" applyFont="1" applyFill="1" applyBorder="1" applyAlignment="1">
      <alignment vertical="center"/>
    </xf>
    <xf numFmtId="177" fontId="31" fillId="0" borderId="14" xfId="4" applyNumberFormat="1" applyFont="1" applyFill="1" applyBorder="1" applyAlignment="1">
      <alignment vertical="center"/>
    </xf>
    <xf numFmtId="177"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wrapText="1"/>
    </xf>
    <xf numFmtId="177" fontId="28" fillId="0" borderId="21" xfId="4" applyNumberFormat="1" applyFont="1" applyFill="1" applyBorder="1" applyAlignment="1">
      <alignment vertical="center"/>
    </xf>
    <xf numFmtId="177" fontId="35" fillId="0" borderId="5" xfId="4" applyNumberFormat="1" applyFont="1" applyFill="1" applyBorder="1" applyAlignment="1">
      <alignment horizontal="center" vertical="center"/>
    </xf>
    <xf numFmtId="177" fontId="28" fillId="0" borderId="5" xfId="4" applyNumberFormat="1" applyFont="1" applyFill="1" applyBorder="1" applyAlignment="1">
      <alignment vertical="center"/>
    </xf>
    <xf numFmtId="177" fontId="28" fillId="0" borderId="14" xfId="4" applyNumberFormat="1" applyFont="1" applyFill="1" applyBorder="1" applyAlignment="1">
      <alignment vertical="center"/>
    </xf>
    <xf numFmtId="41" fontId="31" fillId="0" borderId="14" xfId="0" applyNumberFormat="1" applyFont="1" applyFill="1" applyBorder="1" applyAlignment="1">
      <alignment vertical="center"/>
    </xf>
    <xf numFmtId="41" fontId="31" fillId="0" borderId="5" xfId="0" applyNumberFormat="1" applyFont="1" applyBorder="1" applyAlignment="1">
      <alignment vertical="center"/>
    </xf>
    <xf numFmtId="177" fontId="35" fillId="0" borderId="17" xfId="4" applyNumberFormat="1" applyFont="1" applyFill="1" applyBorder="1" applyAlignment="1">
      <alignment horizontal="center" vertical="center"/>
    </xf>
    <xf numFmtId="177" fontId="28" fillId="0" borderId="17" xfId="4" applyNumberFormat="1" applyFont="1" applyFill="1" applyBorder="1" applyAlignment="1">
      <alignment vertical="center"/>
    </xf>
    <xf numFmtId="177" fontId="28" fillId="0" borderId="18" xfId="4" applyNumberFormat="1" applyFont="1" applyFill="1" applyBorder="1" applyAlignment="1">
      <alignment vertical="center"/>
    </xf>
    <xf numFmtId="177" fontId="28" fillId="0" borderId="30" xfId="4" applyNumberFormat="1" applyFont="1" applyFill="1" applyBorder="1"/>
    <xf numFmtId="177" fontId="5" fillId="0" borderId="0" xfId="4" applyNumberFormat="1" applyFont="1" applyFill="1" applyAlignment="1">
      <alignment vertical="top"/>
    </xf>
    <xf numFmtId="177" fontId="31" fillId="0" borderId="22" xfId="4" applyNumberFormat="1" applyFont="1" applyFill="1" applyBorder="1"/>
    <xf numFmtId="0" fontId="5" fillId="0" borderId="5" xfId="0" applyFont="1" applyFill="1" applyBorder="1" applyAlignment="1">
      <alignment vertical="center"/>
    </xf>
    <xf numFmtId="177" fontId="5" fillId="0" borderId="4" xfId="4" applyNumberFormat="1" applyFont="1" applyFill="1" applyBorder="1" applyAlignment="1"/>
    <xf numFmtId="0" fontId="28" fillId="0" borderId="35" xfId="0" applyFont="1" applyFill="1" applyBorder="1"/>
    <xf numFmtId="0" fontId="24" fillId="0" borderId="12" xfId="0" applyFont="1" applyFill="1" applyBorder="1"/>
    <xf numFmtId="177" fontId="28" fillId="0" borderId="14" xfId="4" applyNumberFormat="1" applyFont="1" applyFill="1" applyBorder="1"/>
    <xf numFmtId="0" fontId="65" fillId="0" borderId="5" xfId="0" applyFont="1" applyFill="1" applyBorder="1" applyAlignment="1">
      <alignment horizontal="left" wrapText="1"/>
    </xf>
    <xf numFmtId="0" fontId="65" fillId="0" borderId="5" xfId="0" applyFont="1" applyFill="1" applyBorder="1" applyAlignment="1"/>
    <xf numFmtId="0" fontId="65" fillId="0" borderId="5" xfId="0" applyFont="1" applyFill="1" applyBorder="1" applyAlignment="1">
      <alignment wrapText="1"/>
    </xf>
    <xf numFmtId="0" fontId="65" fillId="0" borderId="5" xfId="0" applyFont="1" applyFill="1" applyBorder="1" applyAlignment="1">
      <alignment horizontal="left"/>
    </xf>
    <xf numFmtId="0" fontId="5" fillId="0" borderId="45" xfId="0" applyFont="1" applyFill="1" applyBorder="1" applyAlignment="1">
      <alignment vertical="top" wrapText="1"/>
    </xf>
    <xf numFmtId="0" fontId="8" fillId="0" borderId="11" xfId="0" applyFont="1" applyFill="1" applyBorder="1" applyAlignment="1">
      <alignment vertical="top" wrapText="1"/>
    </xf>
    <xf numFmtId="0" fontId="31" fillId="0" borderId="24" xfId="0" applyFont="1" applyFill="1" applyBorder="1"/>
    <xf numFmtId="177" fontId="31" fillId="0" borderId="24" xfId="4" applyNumberFormat="1" applyFont="1" applyFill="1" applyBorder="1"/>
    <xf numFmtId="0" fontId="33" fillId="0" borderId="5" xfId="0" applyFont="1" applyFill="1" applyBorder="1"/>
    <xf numFmtId="41" fontId="31" fillId="0" borderId="5" xfId="4" applyNumberFormat="1" applyFont="1" applyFill="1" applyBorder="1" applyAlignment="1">
      <alignment vertical="top"/>
    </xf>
    <xf numFmtId="0" fontId="31" fillId="0" borderId="0" xfId="0" applyFont="1" applyFill="1" applyAlignment="1">
      <alignment vertical="center"/>
    </xf>
    <xf numFmtId="0" fontId="31" fillId="0" borderId="0" xfId="0" applyFont="1" applyFill="1" applyAlignment="1">
      <alignment vertical="top"/>
    </xf>
    <xf numFmtId="0" fontId="28" fillId="0" borderId="24" xfId="0" applyFont="1" applyFill="1" applyBorder="1"/>
    <xf numFmtId="177" fontId="12" fillId="0" borderId="0" xfId="4" applyNumberFormat="1" applyFont="1" applyFill="1"/>
    <xf numFmtId="49" fontId="12" fillId="0" borderId="0" xfId="4" applyNumberFormat="1" applyFont="1" applyFill="1"/>
    <xf numFmtId="177" fontId="12" fillId="0" borderId="0" xfId="4" applyNumberFormat="1" applyFont="1" applyFill="1" applyAlignment="1">
      <alignment horizontal="center" vertical="center"/>
    </xf>
    <xf numFmtId="177" fontId="12" fillId="0" borderId="0" xfId="4" applyNumberFormat="1" applyFont="1" applyFill="1" applyAlignment="1">
      <alignment vertical="center"/>
    </xf>
    <xf numFmtId="177" fontId="10" fillId="0" borderId="0" xfId="4" applyNumberFormat="1" applyFont="1" applyFill="1" applyAlignment="1">
      <alignment horizontal="right" vertical="center"/>
    </xf>
    <xf numFmtId="177" fontId="10" fillId="0" borderId="3" xfId="4" applyNumberFormat="1" applyFont="1" applyFill="1" applyBorder="1" applyAlignment="1">
      <alignment horizontal="center" vertical="center"/>
    </xf>
    <xf numFmtId="49" fontId="10" fillId="0" borderId="3" xfId="4" applyNumberFormat="1" applyFont="1" applyFill="1" applyBorder="1" applyAlignment="1">
      <alignment horizontal="left" vertical="center"/>
    </xf>
    <xf numFmtId="177" fontId="62" fillId="0" borderId="35" xfId="0" applyNumberFormat="1" applyFont="1" applyFill="1" applyBorder="1" applyAlignment="1">
      <alignment vertical="center" shrinkToFit="1"/>
    </xf>
    <xf numFmtId="49" fontId="40" fillId="0" borderId="35" xfId="4" applyNumberFormat="1" applyFont="1" applyFill="1" applyBorder="1" applyAlignment="1">
      <alignment horizontal="center" vertical="center" shrinkToFit="1"/>
    </xf>
    <xf numFmtId="0" fontId="5" fillId="0" borderId="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5"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5" fillId="0" borderId="0" xfId="0" applyFont="1" applyFill="1" applyBorder="1" applyAlignment="1">
      <alignment vertical="center"/>
    </xf>
    <xf numFmtId="0" fontId="5" fillId="0" borderId="3" xfId="0" applyFont="1" applyBorder="1" applyAlignment="1">
      <alignment horizontal="center" vertical="center" wrapText="1"/>
    </xf>
    <xf numFmtId="0" fontId="5" fillId="0" borderId="21" xfId="0" applyFont="1" applyBorder="1" applyAlignment="1">
      <alignment horizontal="center" vertical="center"/>
    </xf>
    <xf numFmtId="0" fontId="5" fillId="0" borderId="5" xfId="0" applyFont="1" applyBorder="1" applyAlignment="1">
      <alignment vertical="top" shrinkToFit="1"/>
    </xf>
    <xf numFmtId="0" fontId="5" fillId="0" borderId="5" xfId="0" applyFont="1" applyBorder="1" applyAlignment="1">
      <alignment shrinkToFit="1"/>
    </xf>
    <xf numFmtId="0" fontId="5" fillId="0" borderId="17" xfId="0" applyFont="1" applyBorder="1" applyAlignment="1">
      <alignment shrinkToFit="1"/>
    </xf>
    <xf numFmtId="178" fontId="5" fillId="0" borderId="5" xfId="0" applyNumberFormat="1" applyFont="1" applyBorder="1" applyAlignment="1">
      <alignment vertical="top" shrinkToFit="1"/>
    </xf>
    <xf numFmtId="178" fontId="5" fillId="0" borderId="5" xfId="0" applyNumberFormat="1" applyFont="1" applyFill="1" applyBorder="1" applyAlignment="1">
      <alignment vertical="top" shrinkToFit="1"/>
    </xf>
    <xf numFmtId="178" fontId="5" fillId="0" borderId="5" xfId="0" applyNumberFormat="1" applyFont="1" applyBorder="1" applyAlignment="1">
      <alignment shrinkToFit="1"/>
    </xf>
    <xf numFmtId="41" fontId="5" fillId="0" borderId="5" xfId="5" applyFont="1" applyBorder="1" applyAlignment="1">
      <alignment vertical="top" shrinkToFit="1"/>
    </xf>
    <xf numFmtId="177" fontId="5"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5" fillId="0" borderId="5" xfId="4" applyNumberFormat="1" applyFont="1" applyBorder="1" applyAlignment="1">
      <alignment shrinkToFit="1"/>
    </xf>
    <xf numFmtId="178" fontId="5" fillId="0" borderId="5" xfId="0" applyNumberFormat="1" applyFont="1" applyBorder="1" applyAlignment="1">
      <alignment vertical="top"/>
    </xf>
    <xf numFmtId="178" fontId="5" fillId="0" borderId="5" xfId="0" applyNumberFormat="1" applyFont="1" applyFill="1" applyBorder="1" applyAlignment="1">
      <alignment vertical="top"/>
    </xf>
    <xf numFmtId="178" fontId="12" fillId="0" borderId="5" xfId="0" applyNumberFormat="1" applyFont="1" applyBorder="1" applyAlignment="1">
      <alignment vertical="top"/>
    </xf>
    <xf numFmtId="178" fontId="12" fillId="0" borderId="24" xfId="0" applyNumberFormat="1" applyFont="1" applyBorder="1" applyAlignment="1">
      <alignment vertical="top"/>
    </xf>
    <xf numFmtId="0" fontId="7" fillId="0" borderId="0" xfId="0" applyFont="1" applyAlignment="1">
      <alignment horizontal="justify"/>
    </xf>
    <xf numFmtId="0" fontId="8" fillId="0" borderId="0" xfId="0" applyFont="1" applyFill="1" applyAlignment="1">
      <alignment horizontal="center"/>
    </xf>
    <xf numFmtId="0" fontId="5" fillId="0" borderId="0" xfId="0" applyFont="1" applyFill="1" applyAlignment="1">
      <alignment horizontal="right"/>
    </xf>
    <xf numFmtId="0" fontId="5" fillId="0" borderId="3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9" xfId="0" applyFont="1" applyFill="1" applyBorder="1" applyAlignment="1">
      <alignment horizontal="center" vertical="center"/>
    </xf>
    <xf numFmtId="0" fontId="75" fillId="0" borderId="0" xfId="0" applyFont="1" applyFill="1"/>
    <xf numFmtId="0" fontId="57" fillId="0" borderId="0" xfId="0" applyFont="1" applyFill="1"/>
    <xf numFmtId="0" fontId="8" fillId="0" borderId="17" xfId="0" applyFont="1" applyFill="1" applyBorder="1"/>
    <xf numFmtId="0" fontId="5" fillId="0" borderId="17" xfId="0" applyFont="1" applyFill="1" applyBorder="1"/>
    <xf numFmtId="0" fontId="8" fillId="0" borderId="18" xfId="0" applyFont="1" applyFill="1" applyBorder="1"/>
    <xf numFmtId="0" fontId="5" fillId="0" borderId="0" xfId="0" applyFont="1" applyFill="1"/>
    <xf numFmtId="0" fontId="17" fillId="0" borderId="0" xfId="0" applyFont="1" applyFill="1" applyAlignment="1">
      <alignment horizontal="left"/>
    </xf>
    <xf numFmtId="0" fontId="66" fillId="0" borderId="0" xfId="0" applyFont="1" applyFill="1"/>
    <xf numFmtId="0" fontId="6" fillId="0" borderId="0" xfId="0" applyFont="1" applyFill="1" applyAlignment="1">
      <alignment horizontal="center"/>
    </xf>
    <xf numFmtId="0" fontId="0" fillId="0" borderId="0" xfId="0" applyFill="1"/>
    <xf numFmtId="0" fontId="5" fillId="0" borderId="0" xfId="0" applyFont="1" applyFill="1" applyAlignment="1">
      <alignment horizontal="center"/>
    </xf>
    <xf numFmtId="0" fontId="3" fillId="0" borderId="3" xfId="0" applyFont="1" applyFill="1" applyBorder="1" applyAlignment="1">
      <alignment horizontal="center" vertical="center"/>
    </xf>
    <xf numFmtId="176" fontId="5" fillId="0" borderId="24" xfId="6" applyNumberFormat="1" applyFont="1" applyFill="1" applyBorder="1"/>
    <xf numFmtId="0" fontId="12" fillId="0" borderId="36" xfId="0" applyFont="1" applyFill="1" applyBorder="1"/>
    <xf numFmtId="0" fontId="12" fillId="0" borderId="38" xfId="0" applyFont="1" applyFill="1" applyBorder="1" applyAlignment="1">
      <alignment horizontal="center"/>
    </xf>
    <xf numFmtId="176" fontId="5" fillId="0" borderId="5" xfId="0" applyNumberFormat="1" applyFont="1" applyFill="1" applyBorder="1"/>
    <xf numFmtId="0" fontId="5" fillId="0" borderId="30" xfId="0" applyFont="1" applyFill="1" applyBorder="1"/>
    <xf numFmtId="176" fontId="5" fillId="0" borderId="5" xfId="6" applyNumberFormat="1" applyFont="1" applyFill="1" applyBorder="1"/>
    <xf numFmtId="0" fontId="5" fillId="0" borderId="7" xfId="0" applyFont="1" applyFill="1" applyBorder="1" applyAlignment="1">
      <alignment horizontal="center"/>
    </xf>
    <xf numFmtId="177" fontId="3" fillId="0" borderId="14" xfId="0" applyNumberFormat="1" applyFont="1" applyFill="1" applyBorder="1"/>
    <xf numFmtId="0" fontId="5" fillId="0" borderId="6" xfId="0" applyFont="1" applyFill="1" applyBorder="1"/>
    <xf numFmtId="41" fontId="5" fillId="0" borderId="5" xfId="5" applyFont="1" applyFill="1" applyBorder="1"/>
    <xf numFmtId="180" fontId="5" fillId="0" borderId="6" xfId="5" applyNumberFormat="1" applyFont="1" applyFill="1" applyBorder="1"/>
    <xf numFmtId="41" fontId="5" fillId="0" borderId="6" xfId="5" applyFont="1" applyFill="1" applyBorder="1"/>
    <xf numFmtId="0" fontId="12" fillId="0" borderId="6" xfId="0" applyFont="1" applyFill="1" applyBorder="1"/>
    <xf numFmtId="0" fontId="12" fillId="0" borderId="7" xfId="0" applyFont="1" applyFill="1" applyBorder="1" applyAlignment="1">
      <alignment horizontal="center"/>
    </xf>
    <xf numFmtId="0" fontId="5" fillId="0" borderId="14" xfId="0" applyFont="1" applyFill="1" applyBorder="1"/>
    <xf numFmtId="0" fontId="12" fillId="0" borderId="0" xfId="0" applyFont="1" applyFill="1" applyBorder="1" applyAlignment="1">
      <alignment horizontal="center"/>
    </xf>
    <xf numFmtId="177" fontId="8" fillId="0" borderId="14" xfId="0" applyNumberFormat="1" applyFont="1" applyFill="1" applyBorder="1"/>
    <xf numFmtId="179" fontId="5" fillId="0" borderId="14" xfId="0" applyNumberFormat="1" applyFont="1" applyFill="1" applyBorder="1"/>
    <xf numFmtId="0" fontId="5" fillId="0" borderId="0" xfId="0" applyFont="1" applyFill="1" applyBorder="1"/>
    <xf numFmtId="0" fontId="5" fillId="0" borderId="7" xfId="0" applyFont="1" applyFill="1" applyBorder="1"/>
    <xf numFmtId="41" fontId="8" fillId="0" borderId="21" xfId="5" applyFont="1" applyFill="1" applyBorder="1"/>
    <xf numFmtId="0" fontId="10" fillId="0" borderId="6" xfId="0" applyFont="1" applyFill="1" applyBorder="1"/>
    <xf numFmtId="0" fontId="8" fillId="0" borderId="7" xfId="0" applyFont="1" applyFill="1" applyBorder="1"/>
    <xf numFmtId="177" fontId="8" fillId="0" borderId="5" xfId="0" applyNumberFormat="1" applyFont="1" applyFill="1" applyBorder="1"/>
    <xf numFmtId="176" fontId="8" fillId="0" borderId="5" xfId="0" applyNumberFormat="1" applyFont="1" applyFill="1" applyBorder="1"/>
    <xf numFmtId="0" fontId="8" fillId="0" borderId="5" xfId="0" applyFont="1" applyFill="1" applyBorder="1"/>
    <xf numFmtId="0" fontId="8" fillId="0" borderId="27" xfId="0" applyFont="1" applyFill="1" applyBorder="1"/>
    <xf numFmtId="0" fontId="5" fillId="0" borderId="18" xfId="0" applyFont="1" applyFill="1" applyBorder="1"/>
    <xf numFmtId="0" fontId="17" fillId="0" borderId="0" xfId="0" applyFont="1" applyFill="1"/>
    <xf numFmtId="0" fontId="16" fillId="0" borderId="0" xfId="0" applyFont="1" applyFill="1"/>
    <xf numFmtId="0" fontId="7" fillId="0" borderId="0" xfId="0" applyFont="1" applyFill="1"/>
    <xf numFmtId="49" fontId="5" fillId="0" borderId="21" xfId="0" applyNumberFormat="1" applyFont="1" applyFill="1" applyBorder="1" applyAlignment="1">
      <alignment horizontal="left" vertical="center"/>
    </xf>
    <xf numFmtId="49" fontId="5" fillId="0" borderId="5" xfId="0" applyNumberFormat="1" applyFont="1" applyFill="1" applyBorder="1" applyAlignment="1">
      <alignment horizontal="center" vertical="center"/>
    </xf>
    <xf numFmtId="178" fontId="5" fillId="0" borderId="5" xfId="0" applyNumberFormat="1" applyFont="1" applyFill="1" applyBorder="1" applyAlignment="1">
      <alignment vertical="center"/>
    </xf>
    <xf numFmtId="178" fontId="5" fillId="0" borderId="14" xfId="0" applyNumberFormat="1" applyFont="1" applyFill="1" applyBorder="1" applyAlignment="1">
      <alignment vertical="center"/>
    </xf>
    <xf numFmtId="0" fontId="5" fillId="0" borderId="0" xfId="0" applyFont="1" applyFill="1" applyAlignment="1">
      <alignment vertical="center"/>
    </xf>
    <xf numFmtId="0" fontId="5" fillId="0" borderId="21" xfId="0" applyFont="1" applyFill="1" applyBorder="1" applyAlignment="1">
      <alignment vertical="center"/>
    </xf>
    <xf numFmtId="0" fontId="12" fillId="0" borderId="21" xfId="0" applyFont="1" applyFill="1" applyBorder="1" applyAlignment="1">
      <alignment vertical="center"/>
    </xf>
    <xf numFmtId="0" fontId="12" fillId="0" borderId="5" xfId="0" applyFont="1" applyFill="1" applyBorder="1" applyAlignment="1">
      <alignment vertical="center"/>
    </xf>
    <xf numFmtId="0" fontId="12" fillId="0" borderId="0" xfId="0" applyFont="1" applyFill="1" applyAlignment="1">
      <alignment vertical="center"/>
    </xf>
    <xf numFmtId="0" fontId="3" fillId="0" borderId="21" xfId="0" applyFont="1" applyFill="1" applyBorder="1" applyAlignment="1">
      <alignment vertical="center"/>
    </xf>
    <xf numFmtId="0" fontId="5" fillId="0" borderId="21" xfId="0" applyFont="1" applyFill="1" applyBorder="1"/>
    <xf numFmtId="0" fontId="5" fillId="0" borderId="22" xfId="0" applyFont="1" applyFill="1" applyBorder="1"/>
    <xf numFmtId="177" fontId="12" fillId="0" borderId="34" xfId="4" applyNumberFormat="1" applyFont="1" applyFill="1" applyBorder="1"/>
    <xf numFmtId="49" fontId="10" fillId="0" borderId="39" xfId="4" applyNumberFormat="1" applyFont="1" applyFill="1" applyBorder="1" applyAlignment="1">
      <alignment vertical="top" wrapText="1"/>
    </xf>
    <xf numFmtId="177" fontId="5" fillId="0" borderId="34" xfId="4" applyNumberFormat="1" applyFont="1" applyFill="1" applyBorder="1" applyAlignment="1">
      <alignment horizontal="center" vertical="center"/>
    </xf>
    <xf numFmtId="177" fontId="8" fillId="0" borderId="39" xfId="4" applyNumberFormat="1" applyFont="1" applyFill="1" applyBorder="1" applyAlignment="1">
      <alignment vertical="top" wrapText="1"/>
    </xf>
    <xf numFmtId="177" fontId="12" fillId="0" borderId="34" xfId="4" applyNumberFormat="1" applyFont="1" applyFill="1" applyBorder="1" applyAlignment="1">
      <alignment horizontal="center" vertical="center"/>
    </xf>
    <xf numFmtId="177" fontId="12" fillId="0" borderId="60" xfId="4" applyNumberFormat="1" applyFont="1" applyFill="1" applyBorder="1"/>
    <xf numFmtId="177" fontId="10" fillId="0" borderId="61" xfId="4" applyNumberFormat="1" applyFont="1" applyFill="1" applyBorder="1" applyAlignment="1">
      <alignment horizontal="center" vertical="center"/>
    </xf>
    <xf numFmtId="177" fontId="10" fillId="0" borderId="61" xfId="4" applyNumberFormat="1" applyFont="1" applyFill="1" applyBorder="1" applyAlignment="1">
      <alignment vertical="center"/>
    </xf>
    <xf numFmtId="177" fontId="10" fillId="0" borderId="61" xfId="4" applyNumberFormat="1" applyFont="1" applyFill="1" applyBorder="1"/>
    <xf numFmtId="177" fontId="10" fillId="0" borderId="62" xfId="4" applyNumberFormat="1" applyFont="1" applyFill="1" applyBorder="1" applyAlignment="1">
      <alignment vertical="center" wrapText="1"/>
    </xf>
    <xf numFmtId="0" fontId="37" fillId="0" borderId="0" xfId="0" applyFont="1" applyAlignment="1">
      <alignment horizontal="center"/>
    </xf>
    <xf numFmtId="0" fontId="78" fillId="0" borderId="26" xfId="0" applyFont="1" applyFill="1" applyBorder="1" applyAlignment="1">
      <alignment horizontal="left" vertical="center" wrapText="1"/>
    </xf>
    <xf numFmtId="0" fontId="65" fillId="0" borderId="26" xfId="0" applyFont="1" applyFill="1" applyBorder="1" applyAlignment="1">
      <alignment horizontal="left" vertical="center" wrapText="1"/>
    </xf>
    <xf numFmtId="0" fontId="79" fillId="0" borderId="26" xfId="8" applyFont="1" applyFill="1" applyBorder="1" applyAlignment="1">
      <alignment vertical="center" wrapText="1"/>
    </xf>
    <xf numFmtId="0" fontId="48" fillId="0" borderId="6" xfId="0" applyFont="1" applyFill="1" applyBorder="1"/>
    <xf numFmtId="0" fontId="24" fillId="0" borderId="8" xfId="0" applyFont="1" applyFill="1" applyBorder="1"/>
    <xf numFmtId="182" fontId="10" fillId="0" borderId="3" xfId="4" applyNumberFormat="1" applyFont="1" applyFill="1" applyBorder="1" applyAlignment="1">
      <alignment horizontal="center" vertical="center"/>
    </xf>
    <xf numFmtId="0" fontId="37" fillId="0" borderId="0" xfId="0" applyFont="1" applyAlignment="1">
      <alignment horizontal="center"/>
    </xf>
    <xf numFmtId="177" fontId="28" fillId="0" borderId="5" xfId="0" applyNumberFormat="1" applyFont="1" applyFill="1" applyBorder="1"/>
    <xf numFmtId="183" fontId="12" fillId="0" borderId="0" xfId="0" applyNumberFormat="1" applyFont="1" applyBorder="1" applyAlignment="1">
      <alignment vertical="top"/>
    </xf>
    <xf numFmtId="183" fontId="5" fillId="0" borderId="0" xfId="0" applyNumberFormat="1" applyFont="1" applyBorder="1" applyAlignment="1">
      <alignment vertical="top"/>
    </xf>
    <xf numFmtId="183" fontId="5" fillId="0" borderId="0" xfId="0" applyNumberFormat="1" applyFont="1" applyFill="1" applyBorder="1" applyAlignment="1">
      <alignment vertical="top"/>
    </xf>
    <xf numFmtId="183" fontId="5" fillId="0" borderId="0" xfId="0" applyNumberFormat="1" applyFont="1" applyBorder="1"/>
    <xf numFmtId="41" fontId="31" fillId="0" borderId="5" xfId="0" applyNumberFormat="1" applyFont="1" applyFill="1" applyBorder="1"/>
    <xf numFmtId="183" fontId="12" fillId="0" borderId="28" xfId="0" applyNumberFormat="1" applyFont="1" applyBorder="1" applyAlignment="1">
      <alignment vertical="top"/>
    </xf>
    <xf numFmtId="0" fontId="5" fillId="0" borderId="8" xfId="0" applyFont="1" applyFill="1" applyBorder="1" applyAlignment="1"/>
    <xf numFmtId="0" fontId="31" fillId="0" borderId="8" xfId="0" applyFont="1" applyBorder="1" applyAlignment="1">
      <alignment horizontal="left" vertical="center"/>
    </xf>
    <xf numFmtId="0" fontId="31" fillId="0" borderId="0" xfId="0" applyFont="1" applyAlignment="1">
      <alignment horizontal="left" vertical="center"/>
    </xf>
    <xf numFmtId="0" fontId="31" fillId="0" borderId="8" xfId="0" applyFont="1" applyBorder="1" applyAlignment="1">
      <alignment vertical="center"/>
    </xf>
    <xf numFmtId="0" fontId="31" fillId="0" borderId="32" xfId="0" applyFont="1" applyBorder="1" applyAlignment="1">
      <alignment vertical="center"/>
    </xf>
    <xf numFmtId="0" fontId="79" fillId="0" borderId="3" xfId="0" applyFont="1" applyFill="1" applyBorder="1" applyAlignment="1">
      <alignment horizontal="left" vertical="center" wrapText="1"/>
    </xf>
    <xf numFmtId="177" fontId="5" fillId="0" borderId="63" xfId="4" applyNumberFormat="1" applyFont="1" applyFill="1" applyBorder="1" applyAlignment="1">
      <alignment horizontal="center" vertical="center"/>
    </xf>
    <xf numFmtId="49" fontId="10" fillId="0" borderId="17" xfId="4" applyNumberFormat="1" applyFont="1" applyFill="1" applyBorder="1" applyAlignment="1">
      <alignment horizontal="center" vertical="center"/>
    </xf>
    <xf numFmtId="0" fontId="28" fillId="0" borderId="5" xfId="0" applyFont="1" applyFill="1" applyBorder="1" applyAlignment="1">
      <alignment horizontal="left"/>
    </xf>
    <xf numFmtId="0" fontId="31" fillId="0" borderId="3" xfId="0" applyFont="1" applyBorder="1" applyAlignment="1">
      <alignment horizontal="center" vertical="center" wrapText="1"/>
    </xf>
    <xf numFmtId="177" fontId="28" fillId="0" borderId="17" xfId="0" applyNumberFormat="1" applyFont="1" applyFill="1" applyBorder="1"/>
    <xf numFmtId="0" fontId="31" fillId="0" borderId="14" xfId="0" applyFont="1" applyBorder="1" applyAlignment="1">
      <alignment vertical="center" wrapText="1"/>
    </xf>
    <xf numFmtId="0" fontId="5" fillId="0" borderId="3" xfId="0" applyFont="1" applyFill="1" applyBorder="1" applyAlignment="1">
      <alignment horizontal="left" vertical="center" wrapText="1"/>
    </xf>
    <xf numFmtId="177" fontId="8" fillId="0" borderId="3" xfId="4" applyNumberFormat="1" applyFont="1" applyFill="1" applyBorder="1" applyAlignment="1">
      <alignment horizontal="center" vertical="center"/>
    </xf>
    <xf numFmtId="177" fontId="8" fillId="0" borderId="39" xfId="4" applyNumberFormat="1" applyFont="1" applyFill="1" applyBorder="1" applyAlignment="1">
      <alignment vertical="center" wrapText="1"/>
    </xf>
    <xf numFmtId="0" fontId="24" fillId="0" borderId="6" xfId="0" applyFont="1" applyFill="1" applyBorder="1" applyAlignment="1">
      <alignment horizontal="left"/>
    </xf>
    <xf numFmtId="0" fontId="24" fillId="0" borderId="0" xfId="0" applyFont="1" applyFill="1" applyBorder="1" applyAlignment="1">
      <alignment horizontal="left"/>
    </xf>
    <xf numFmtId="0" fontId="28" fillId="0" borderId="7" xfId="0" applyFont="1" applyFill="1" applyBorder="1" applyAlignment="1">
      <alignment horizontal="center" vertical="center"/>
    </xf>
    <xf numFmtId="0" fontId="46" fillId="0" borderId="5" xfId="0" applyFont="1" applyFill="1" applyBorder="1" applyAlignment="1">
      <alignment horizontal="center" vertical="center"/>
    </xf>
    <xf numFmtId="0" fontId="38" fillId="0" borderId="8" xfId="0" applyFont="1" applyFill="1" applyBorder="1" applyAlignment="1">
      <alignment vertical="center"/>
    </xf>
    <xf numFmtId="177" fontId="28" fillId="0" borderId="7" xfId="4" applyNumberFormat="1" applyFont="1" applyFill="1" applyBorder="1" applyAlignment="1">
      <alignment vertical="center"/>
    </xf>
    <xf numFmtId="0" fontId="31" fillId="0" borderId="8" xfId="0" applyFont="1" applyFill="1" applyBorder="1" applyAlignment="1">
      <alignment vertical="center"/>
    </xf>
    <xf numFmtId="177" fontId="31" fillId="0" borderId="7" xfId="4" applyNumberFormat="1" applyFont="1" applyFill="1" applyBorder="1" applyAlignment="1">
      <alignment vertical="center"/>
    </xf>
    <xf numFmtId="177" fontId="31" fillId="3" borderId="5" xfId="4" applyNumberFormat="1" applyFont="1" applyFill="1" applyBorder="1" applyAlignment="1">
      <alignment vertical="center"/>
    </xf>
    <xf numFmtId="177" fontId="23" fillId="0" borderId="6" xfId="4" applyNumberFormat="1" applyFont="1" applyFill="1" applyBorder="1" applyAlignment="1">
      <alignment vertical="center"/>
    </xf>
    <xf numFmtId="49" fontId="40" fillId="0" borderId="6" xfId="4" applyNumberFormat="1" applyFont="1" applyFill="1" applyBorder="1" applyAlignment="1">
      <alignment horizontal="center" vertical="center"/>
    </xf>
    <xf numFmtId="0" fontId="31" fillId="0" borderId="7" xfId="0" applyFont="1" applyFill="1" applyBorder="1" applyAlignment="1">
      <alignment vertical="center"/>
    </xf>
    <xf numFmtId="0" fontId="31" fillId="0" borderId="5" xfId="0" applyFont="1" applyFill="1" applyBorder="1" applyAlignment="1">
      <alignment vertical="center"/>
    </xf>
    <xf numFmtId="0" fontId="33" fillId="0" borderId="8" xfId="0" applyFont="1" applyFill="1" applyBorder="1" applyAlignment="1">
      <alignment vertical="center"/>
    </xf>
    <xf numFmtId="0" fontId="31" fillId="0" borderId="5" xfId="0" applyFont="1" applyFill="1" applyBorder="1" applyAlignment="1">
      <alignment horizontal="left" vertical="center"/>
    </xf>
    <xf numFmtId="0" fontId="28" fillId="0" borderId="5" xfId="0" applyFont="1" applyFill="1" applyBorder="1" applyAlignment="1">
      <alignment horizontal="left" vertical="center"/>
    </xf>
    <xf numFmtId="177" fontId="28" fillId="3" borderId="5" xfId="4" applyNumberFormat="1" applyFont="1" applyFill="1" applyBorder="1" applyAlignment="1">
      <alignment vertical="center"/>
    </xf>
    <xf numFmtId="0" fontId="28" fillId="0" borderId="7" xfId="0" applyFont="1" applyFill="1" applyBorder="1" applyAlignment="1">
      <alignment vertical="center"/>
    </xf>
    <xf numFmtId="0" fontId="28" fillId="0" borderId="5" xfId="0" applyFont="1" applyFill="1" applyBorder="1" applyAlignment="1">
      <alignment vertical="center"/>
    </xf>
    <xf numFmtId="41" fontId="31" fillId="3" borderId="5" xfId="4" applyNumberFormat="1" applyFont="1" applyFill="1" applyBorder="1" applyAlignment="1">
      <alignment vertical="center"/>
    </xf>
    <xf numFmtId="41" fontId="23" fillId="0" borderId="6" xfId="4" applyNumberFormat="1" applyFont="1" applyFill="1" applyBorder="1" applyAlignment="1">
      <alignment vertical="center"/>
    </xf>
    <xf numFmtId="177" fontId="9" fillId="0" borderId="6" xfId="4" applyNumberFormat="1" applyFont="1" applyFill="1" applyBorder="1" applyAlignment="1">
      <alignment vertical="center"/>
    </xf>
    <xf numFmtId="177" fontId="31" fillId="3" borderId="5" xfId="4" applyNumberFormat="1" applyFont="1" applyFill="1" applyBorder="1"/>
    <xf numFmtId="177" fontId="31" fillId="3" borderId="21" xfId="4" applyNumberFormat="1" applyFont="1" applyFill="1" applyBorder="1" applyAlignment="1">
      <alignment vertical="center"/>
    </xf>
    <xf numFmtId="41" fontId="31" fillId="3" borderId="21" xfId="4" applyNumberFormat="1" applyFont="1" applyFill="1" applyBorder="1" applyAlignment="1">
      <alignment vertical="center"/>
    </xf>
    <xf numFmtId="41" fontId="31" fillId="3" borderId="21" xfId="0" applyNumberFormat="1" applyFont="1" applyFill="1" applyBorder="1" applyAlignment="1">
      <alignment vertical="center"/>
    </xf>
    <xf numFmtId="177" fontId="28" fillId="3" borderId="37" xfId="4" applyNumberFormat="1" applyFont="1" applyFill="1" applyBorder="1" applyAlignment="1">
      <alignment vertical="center"/>
    </xf>
    <xf numFmtId="177" fontId="28" fillId="3" borderId="21" xfId="4" applyNumberFormat="1" applyFont="1" applyFill="1" applyBorder="1" applyAlignment="1">
      <alignment vertical="center"/>
    </xf>
    <xf numFmtId="177" fontId="28" fillId="3" borderId="22" xfId="4" applyNumberFormat="1" applyFont="1" applyFill="1" applyBorder="1" applyAlignment="1">
      <alignment vertical="center"/>
    </xf>
    <xf numFmtId="41" fontId="31" fillId="3" borderId="5" xfId="0" applyNumberFormat="1" applyFont="1" applyFill="1" applyBorder="1" applyAlignment="1">
      <alignment vertical="center"/>
    </xf>
    <xf numFmtId="177" fontId="31" fillId="4" borderId="21" xfId="4" applyNumberFormat="1" applyFont="1" applyFill="1" applyBorder="1" applyAlignment="1">
      <alignment vertical="center"/>
    </xf>
    <xf numFmtId="41" fontId="31" fillId="4" borderId="21" xfId="0" applyNumberFormat="1" applyFont="1" applyFill="1" applyBorder="1" applyAlignment="1">
      <alignment vertical="center"/>
    </xf>
    <xf numFmtId="41" fontId="31" fillId="4" borderId="5" xfId="0" applyNumberFormat="1" applyFont="1" applyFill="1" applyBorder="1" applyAlignment="1">
      <alignment vertical="center"/>
    </xf>
    <xf numFmtId="41" fontId="31" fillId="3" borderId="0" xfId="0" applyNumberFormat="1" applyFont="1" applyFill="1"/>
    <xf numFmtId="0" fontId="31" fillId="3" borderId="0" xfId="0" applyFont="1" applyFill="1"/>
    <xf numFmtId="0" fontId="31" fillId="0" borderId="17" xfId="0" applyFont="1" applyFill="1" applyBorder="1"/>
    <xf numFmtId="41" fontId="80" fillId="3" borderId="5" xfId="4" applyNumberFormat="1" applyFont="1" applyFill="1" applyBorder="1" applyAlignment="1">
      <alignment vertical="center"/>
    </xf>
    <xf numFmtId="41" fontId="80" fillId="3" borderId="5" xfId="0" applyNumberFormat="1" applyFont="1" applyFill="1" applyBorder="1" applyAlignment="1">
      <alignment vertical="center"/>
    </xf>
    <xf numFmtId="41" fontId="80" fillId="0" borderId="5" xfId="4" applyNumberFormat="1" applyFont="1" applyFill="1" applyBorder="1" applyAlignment="1">
      <alignment vertical="center"/>
    </xf>
    <xf numFmtId="0" fontId="31" fillId="0" borderId="31" xfId="0" applyFont="1" applyBorder="1" applyAlignment="1">
      <alignment horizontal="center" vertical="center"/>
    </xf>
    <xf numFmtId="177" fontId="31" fillId="3" borderId="7" xfId="4" applyNumberFormat="1" applyFont="1" applyFill="1" applyBorder="1"/>
    <xf numFmtId="0" fontId="24" fillId="0" borderId="39" xfId="0" applyFont="1" applyBorder="1" applyAlignment="1">
      <alignment horizontal="center" vertical="center" wrapText="1"/>
    </xf>
    <xf numFmtId="177" fontId="9" fillId="0" borderId="7" xfId="4" applyNumberFormat="1" applyFont="1" applyFill="1" applyBorder="1"/>
    <xf numFmtId="43" fontId="9" fillId="0" borderId="5" xfId="0" applyNumberFormat="1" applyFont="1" applyFill="1" applyBorder="1"/>
    <xf numFmtId="177" fontId="27" fillId="0" borderId="16" xfId="4" applyNumberFormat="1" applyFont="1" applyFill="1" applyBorder="1"/>
    <xf numFmtId="0" fontId="28" fillId="0" borderId="43" xfId="0" applyFont="1" applyFill="1" applyBorder="1" applyAlignment="1">
      <alignment vertical="top" wrapText="1"/>
    </xf>
    <xf numFmtId="177" fontId="31" fillId="0" borderId="43" xfId="4" applyNumberFormat="1" applyFont="1" applyFill="1" applyBorder="1" applyAlignment="1">
      <alignment vertical="top"/>
    </xf>
    <xf numFmtId="177" fontId="31" fillId="0" borderId="46" xfId="4" applyNumberFormat="1" applyFont="1" applyFill="1" applyBorder="1" applyAlignment="1">
      <alignment vertical="top"/>
    </xf>
    <xf numFmtId="0" fontId="28" fillId="0" borderId="17" xfId="0" applyFont="1" applyBorder="1" applyAlignment="1">
      <alignment horizontal="center" vertical="center"/>
    </xf>
    <xf numFmtId="177" fontId="28" fillId="0" borderId="17" xfId="0" applyNumberFormat="1" applyFont="1" applyFill="1" applyBorder="1" applyAlignment="1">
      <alignment vertical="center"/>
    </xf>
    <xf numFmtId="177" fontId="28" fillId="0" borderId="17" xfId="0" applyNumberFormat="1" applyFont="1" applyBorder="1" applyAlignment="1">
      <alignment vertical="center"/>
    </xf>
    <xf numFmtId="177" fontId="28" fillId="0" borderId="18" xfId="0" applyNumberFormat="1" applyFont="1" applyBorder="1" applyAlignment="1">
      <alignment vertical="center"/>
    </xf>
    <xf numFmtId="0" fontId="5" fillId="0" borderId="47" xfId="0" applyFont="1" applyFill="1" applyBorder="1" applyAlignment="1">
      <alignment vertical="center"/>
    </xf>
    <xf numFmtId="0" fontId="5" fillId="0" borderId="3" xfId="0" applyFont="1" applyFill="1" applyBorder="1" applyAlignment="1">
      <alignment horizontal="center" vertical="center" shrinkToFit="1"/>
    </xf>
    <xf numFmtId="0" fontId="5" fillId="0" borderId="24" xfId="0" applyFont="1" applyFill="1" applyBorder="1" applyAlignment="1">
      <alignment vertical="center"/>
    </xf>
    <xf numFmtId="177" fontId="5" fillId="0" borderId="5" xfId="4" applyNumberFormat="1" applyFont="1" applyFill="1" applyBorder="1" applyAlignment="1">
      <alignment vertical="center"/>
    </xf>
    <xf numFmtId="0" fontId="5" fillId="0" borderId="4" xfId="0" applyFont="1" applyFill="1" applyBorder="1" applyAlignment="1">
      <alignment vertical="center"/>
    </xf>
    <xf numFmtId="177" fontId="5" fillId="0" borderId="4" xfId="4" applyNumberFormat="1" applyFont="1" applyFill="1" applyBorder="1" applyAlignment="1">
      <alignment vertical="center"/>
    </xf>
    <xf numFmtId="0" fontId="5" fillId="0" borderId="15" xfId="0" applyFont="1" applyFill="1" applyBorder="1" applyAlignment="1">
      <alignment vertical="center"/>
    </xf>
    <xf numFmtId="0" fontId="5" fillId="0" borderId="24" xfId="0" applyFont="1" applyFill="1" applyBorder="1" applyAlignment="1">
      <alignment horizontal="center" vertical="center" shrinkToFit="1"/>
    </xf>
    <xf numFmtId="0" fontId="12" fillId="0" borderId="24" xfId="0" applyFont="1" applyFill="1" applyBorder="1" applyAlignment="1"/>
    <xf numFmtId="0" fontId="5" fillId="0" borderId="24" xfId="0" applyFont="1" applyFill="1" applyBorder="1" applyAlignment="1"/>
    <xf numFmtId="0" fontId="5" fillId="0" borderId="4" xfId="0" applyFont="1" applyFill="1" applyBorder="1" applyAlignment="1"/>
    <xf numFmtId="0" fontId="5" fillId="0" borderId="3" xfId="0" applyFont="1" applyFill="1" applyBorder="1" applyAlignment="1">
      <alignment horizontal="center"/>
    </xf>
    <xf numFmtId="177" fontId="5" fillId="0" borderId="3" xfId="0" applyNumberFormat="1" applyFont="1" applyFill="1" applyBorder="1" applyAlignment="1"/>
    <xf numFmtId="178" fontId="11" fillId="0" borderId="36" xfId="0" applyNumberFormat="1" applyFont="1" applyFill="1" applyBorder="1" applyAlignment="1">
      <alignment horizontal="center" vertical="center" shrinkToFit="1"/>
    </xf>
    <xf numFmtId="0" fontId="12" fillId="0" borderId="5" xfId="0" applyFont="1" applyFill="1" applyBorder="1" applyAlignment="1">
      <alignment horizontal="center" vertical="center"/>
    </xf>
    <xf numFmtId="177" fontId="84" fillId="0" borderId="6" xfId="0" applyNumberFormat="1" applyFont="1" applyFill="1" applyBorder="1" applyAlignment="1">
      <alignment horizontal="center" vertical="center" shrinkToFit="1"/>
    </xf>
    <xf numFmtId="177" fontId="9" fillId="0" borderId="6" xfId="0" applyNumberFormat="1" applyFont="1" applyFill="1" applyBorder="1" applyAlignment="1">
      <alignment horizontal="center" vertical="center" shrinkToFit="1"/>
    </xf>
    <xf numFmtId="177" fontId="12" fillId="0" borderId="5" xfId="4" applyNumberFormat="1" applyFont="1" applyFill="1" applyBorder="1" applyAlignment="1">
      <alignment vertical="center"/>
    </xf>
    <xf numFmtId="177" fontId="9" fillId="0" borderId="6" xfId="4" applyNumberFormat="1" applyFont="1" applyFill="1" applyBorder="1" applyAlignment="1">
      <alignment vertical="center" shrinkToFit="1"/>
    </xf>
    <xf numFmtId="49" fontId="84" fillId="0" borderId="6" xfId="4" applyNumberFormat="1" applyFont="1" applyFill="1" applyBorder="1" applyAlignment="1">
      <alignment horizontal="center" vertical="center" shrinkToFit="1"/>
    </xf>
    <xf numFmtId="49" fontId="84" fillId="0" borderId="6" xfId="4" applyNumberFormat="1" applyFont="1" applyFill="1" applyBorder="1" applyAlignment="1">
      <alignment horizontal="center" vertical="center"/>
    </xf>
    <xf numFmtId="0" fontId="5" fillId="0" borderId="5" xfId="0" applyFont="1" applyFill="1" applyBorder="1" applyAlignment="1">
      <alignment horizontal="left" vertical="center"/>
    </xf>
    <xf numFmtId="0" fontId="3" fillId="0" borderId="5" xfId="0" applyFont="1" applyFill="1" applyBorder="1" applyAlignment="1">
      <alignment vertical="center"/>
    </xf>
    <xf numFmtId="0" fontId="12" fillId="0" borderId="5" xfId="0" applyFont="1" applyFill="1" applyBorder="1" applyAlignment="1">
      <alignment horizontal="left" vertical="center"/>
    </xf>
    <xf numFmtId="177" fontId="28" fillId="0" borderId="37" xfId="0" applyNumberFormat="1" applyFont="1" applyFill="1" applyBorder="1" applyAlignment="1">
      <alignment horizontal="center"/>
    </xf>
    <xf numFmtId="177" fontId="28" fillId="0" borderId="24" xfId="0" applyNumberFormat="1" applyFont="1" applyFill="1" applyBorder="1" applyAlignment="1">
      <alignment horizontal="center"/>
    </xf>
    <xf numFmtId="177" fontId="28" fillId="0" borderId="22" xfId="0" applyNumberFormat="1" applyFont="1" applyFill="1" applyBorder="1" applyAlignment="1"/>
    <xf numFmtId="177" fontId="28" fillId="0" borderId="17" xfId="0" applyNumberFormat="1" applyFont="1" applyFill="1" applyBorder="1" applyAlignment="1"/>
    <xf numFmtId="177" fontId="28" fillId="0" borderId="18" xfId="0" applyNumberFormat="1" applyFont="1" applyFill="1" applyBorder="1" applyAlignment="1"/>
    <xf numFmtId="177" fontId="12" fillId="0" borderId="21" xfId="4" applyNumberFormat="1" applyFont="1" applyFill="1" applyBorder="1" applyAlignment="1"/>
    <xf numFmtId="177" fontId="12" fillId="0" borderId="5" xfId="4" applyNumberFormat="1" applyFont="1" applyFill="1" applyBorder="1" applyAlignment="1"/>
    <xf numFmtId="177" fontId="5" fillId="0" borderId="21" xfId="4" applyNumberFormat="1" applyFont="1" applyFill="1" applyBorder="1" applyAlignment="1"/>
    <xf numFmtId="177" fontId="31" fillId="0" borderId="21" xfId="0" applyNumberFormat="1" applyFont="1" applyFill="1" applyBorder="1" applyAlignment="1">
      <alignment horizontal="left"/>
    </xf>
    <xf numFmtId="177" fontId="31" fillId="0" borderId="5" xfId="0" applyNumberFormat="1" applyFont="1" applyFill="1" applyBorder="1" applyAlignment="1">
      <alignment horizontal="left"/>
    </xf>
    <xf numFmtId="177" fontId="28" fillId="0" borderId="21" xfId="0" applyNumberFormat="1" applyFont="1" applyFill="1" applyBorder="1" applyAlignment="1"/>
    <xf numFmtId="177" fontId="28" fillId="0" borderId="5" xfId="0" applyNumberFormat="1" applyFont="1" applyFill="1" applyBorder="1" applyAlignment="1"/>
    <xf numFmtId="177" fontId="28" fillId="0" borderId="11" xfId="4" applyNumberFormat="1" applyFont="1" applyFill="1" applyBorder="1" applyAlignment="1"/>
    <xf numFmtId="177" fontId="5" fillId="0" borderId="11" xfId="4" applyNumberFormat="1" applyFont="1" applyFill="1" applyBorder="1" applyAlignment="1"/>
    <xf numFmtId="177" fontId="31" fillId="0" borderId="14" xfId="0" applyNumberFormat="1" applyFont="1" applyFill="1" applyBorder="1" applyAlignment="1">
      <alignment horizontal="left"/>
    </xf>
    <xf numFmtId="177" fontId="31" fillId="0" borderId="14" xfId="0" applyNumberFormat="1" applyFont="1" applyFill="1" applyBorder="1" applyAlignment="1"/>
    <xf numFmtId="177" fontId="12" fillId="0" borderId="5" xfId="4" applyNumberFormat="1" applyFont="1" applyFill="1" applyBorder="1" applyAlignment="1">
      <alignment horizontal="center" vertical="top" wrapText="1"/>
    </xf>
    <xf numFmtId="177" fontId="5" fillId="0" borderId="5" xfId="4" applyNumberFormat="1" applyFont="1" applyFill="1" applyBorder="1" applyAlignment="1">
      <alignment horizontal="center" wrapText="1"/>
    </xf>
    <xf numFmtId="0" fontId="5" fillId="0" borderId="5" xfId="0" applyFont="1" applyFill="1" applyBorder="1" applyAlignment="1">
      <alignment horizontal="justify" wrapText="1"/>
    </xf>
    <xf numFmtId="177" fontId="5" fillId="0" borderId="5" xfId="0" applyNumberFormat="1" applyFont="1" applyFill="1" applyBorder="1" applyAlignment="1">
      <alignment horizontal="center" wrapText="1"/>
    </xf>
    <xf numFmtId="177" fontId="28" fillId="0" borderId="22" xfId="0" applyNumberFormat="1" applyFont="1" applyFill="1" applyBorder="1" applyAlignment="1">
      <alignment vertical="center"/>
    </xf>
    <xf numFmtId="177" fontId="28" fillId="0" borderId="37" xfId="4" applyNumberFormat="1" applyFont="1" applyFill="1" applyBorder="1"/>
    <xf numFmtId="177" fontId="28" fillId="0" borderId="24" xfId="4" applyNumberFormat="1" applyFont="1" applyFill="1" applyBorder="1"/>
    <xf numFmtId="177" fontId="28" fillId="0" borderId="42" xfId="4" applyNumberFormat="1" applyFont="1" applyFill="1" applyBorder="1" applyAlignment="1">
      <alignment vertical="top"/>
    </xf>
    <xf numFmtId="177" fontId="28" fillId="0" borderId="43" xfId="4" applyNumberFormat="1" applyFont="1" applyFill="1" applyBorder="1" applyAlignment="1">
      <alignment vertical="top"/>
    </xf>
    <xf numFmtId="177" fontId="28" fillId="0" borderId="24" xfId="0" applyNumberFormat="1" applyFont="1" applyFill="1" applyBorder="1"/>
    <xf numFmtId="177" fontId="31" fillId="0" borderId="5" xfId="0" applyNumberFormat="1" applyFont="1" applyFill="1" applyBorder="1"/>
    <xf numFmtId="177" fontId="28" fillId="0" borderId="43" xfId="0" applyNumberFormat="1" applyFont="1" applyFill="1" applyBorder="1" applyAlignment="1">
      <alignment vertical="top"/>
    </xf>
    <xf numFmtId="177" fontId="31" fillId="5" borderId="5" xfId="0" applyNumberFormat="1" applyFont="1" applyFill="1" applyBorder="1"/>
    <xf numFmtId="177" fontId="75" fillId="0" borderId="0" xfId="0" applyNumberFormat="1" applyFont="1" applyFill="1"/>
    <xf numFmtId="177" fontId="57" fillId="0" borderId="0" xfId="0" applyNumberFormat="1" applyFont="1" applyFill="1"/>
    <xf numFmtId="177" fontId="31" fillId="3" borderId="21" xfId="4" applyNumberFormat="1" applyFont="1" applyFill="1" applyBorder="1"/>
    <xf numFmtId="0" fontId="36" fillId="0" borderId="0" xfId="0" applyFont="1" applyFill="1"/>
    <xf numFmtId="0" fontId="31" fillId="0" borderId="3"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29" fillId="0" borderId="0" xfId="0" applyFont="1" applyFill="1"/>
    <xf numFmtId="0" fontId="28" fillId="0" borderId="17" xfId="0" applyFont="1" applyFill="1" applyBorder="1" applyAlignment="1">
      <alignment horizontal="center"/>
    </xf>
    <xf numFmtId="0" fontId="40" fillId="0" borderId="0" xfId="0" applyFont="1" applyFill="1" applyBorder="1"/>
    <xf numFmtId="177" fontId="28" fillId="3" borderId="5" xfId="4" applyNumberFormat="1" applyFont="1" applyFill="1" applyBorder="1"/>
    <xf numFmtId="177" fontId="31" fillId="3" borderId="17" xfId="4" applyNumberFormat="1" applyFont="1" applyFill="1" applyBorder="1"/>
    <xf numFmtId="177" fontId="28" fillId="3" borderId="17" xfId="0" applyNumberFormat="1" applyFont="1" applyFill="1" applyBorder="1"/>
    <xf numFmtId="177" fontId="56" fillId="3" borderId="16" xfId="4" applyNumberFormat="1" applyFont="1" applyFill="1" applyBorder="1"/>
    <xf numFmtId="177" fontId="29" fillId="0" borderId="0" xfId="0" applyNumberFormat="1" applyFont="1" applyFill="1"/>
    <xf numFmtId="43" fontId="9" fillId="0" borderId="5" xfId="4" applyNumberFormat="1" applyFont="1" applyFill="1" applyBorder="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0" fontId="85" fillId="0" borderId="5" xfId="0" applyFont="1" applyFill="1" applyBorder="1"/>
    <xf numFmtId="41" fontId="85" fillId="0" borderId="5" xfId="4" applyNumberFormat="1" applyFont="1" applyFill="1" applyBorder="1" applyAlignment="1">
      <alignment vertical="center"/>
    </xf>
    <xf numFmtId="0" fontId="5" fillId="0" borderId="5" xfId="0" applyFont="1" applyFill="1" applyBorder="1" applyAlignment="1">
      <alignment horizontal="left" indent="2"/>
    </xf>
    <xf numFmtId="0" fontId="5" fillId="0" borderId="6" xfId="0" applyFont="1" applyFill="1" applyBorder="1" applyAlignment="1">
      <alignment horizontal="left" indent="2"/>
    </xf>
    <xf numFmtId="0" fontId="5" fillId="0" borderId="5" xfId="0" applyFont="1" applyFill="1" applyBorder="1" applyAlignment="1">
      <alignment horizontal="left" indent="1"/>
    </xf>
    <xf numFmtId="41" fontId="11" fillId="0" borderId="14" xfId="0" applyNumberFormat="1" applyFont="1" applyFill="1" applyBorder="1"/>
    <xf numFmtId="0" fontId="5" fillId="0" borderId="6" xfId="0" applyFont="1" applyFill="1" applyBorder="1" applyAlignment="1">
      <alignment horizontal="left" indent="1"/>
    </xf>
    <xf numFmtId="41" fontId="8" fillId="0" borderId="22" xfId="5" applyFont="1" applyFill="1" applyBorder="1"/>
    <xf numFmtId="0" fontId="10" fillId="0" borderId="35" xfId="0" applyFont="1" applyFill="1" applyBorder="1"/>
    <xf numFmtId="177" fontId="24" fillId="3" borderId="16" xfId="0" applyNumberFormat="1" applyFont="1" applyFill="1" applyBorder="1" applyAlignment="1">
      <alignment horizontal="center"/>
    </xf>
    <xf numFmtId="177" fontId="24" fillId="3" borderId="16" xfId="4" applyNumberFormat="1" applyFont="1" applyFill="1" applyBorder="1"/>
    <xf numFmtId="0" fontId="86" fillId="0" borderId="0" xfId="0" applyFont="1" applyFill="1" applyBorder="1"/>
    <xf numFmtId="177" fontId="8" fillId="3" borderId="16" xfId="4" applyNumberFormat="1" applyFont="1" applyFill="1" applyBorder="1"/>
    <xf numFmtId="0" fontId="85" fillId="0" borderId="6" xfId="0" applyFont="1" applyFill="1" applyBorder="1"/>
    <xf numFmtId="177" fontId="31" fillId="3" borderId="20" xfId="0" applyNumberFormat="1" applyFont="1" applyFill="1" applyBorder="1"/>
    <xf numFmtId="177" fontId="8" fillId="3" borderId="16" xfId="0" applyNumberFormat="1" applyFont="1" applyFill="1" applyBorder="1" applyAlignment="1">
      <alignment horizontal="center"/>
    </xf>
    <xf numFmtId="177" fontId="5" fillId="3" borderId="20" xfId="0" applyNumberFormat="1" applyFont="1" applyFill="1" applyBorder="1"/>
    <xf numFmtId="0" fontId="0" fillId="0" borderId="0" xfId="0" applyFont="1" applyFill="1"/>
    <xf numFmtId="0" fontId="86" fillId="0" borderId="6" xfId="0" applyFont="1" applyFill="1" applyBorder="1"/>
    <xf numFmtId="41" fontId="8" fillId="3" borderId="16" xfId="4" applyNumberFormat="1" applyFont="1" applyFill="1" applyBorder="1"/>
    <xf numFmtId="177" fontId="8" fillId="3" borderId="56" xfId="4" applyNumberFormat="1" applyFont="1" applyFill="1" applyBorder="1"/>
    <xf numFmtId="0" fontId="31" fillId="0" borderId="49" xfId="0" applyFont="1" applyFill="1" applyBorder="1"/>
    <xf numFmtId="0" fontId="31" fillId="0" borderId="19" xfId="0" applyFont="1" applyFill="1" applyBorder="1"/>
    <xf numFmtId="177" fontId="24" fillId="3" borderId="20" xfId="4" applyNumberFormat="1" applyFont="1" applyFill="1" applyBorder="1"/>
    <xf numFmtId="41" fontId="24" fillId="3" borderId="16" xfId="4" applyNumberFormat="1" applyFont="1" applyFill="1" applyBorder="1"/>
    <xf numFmtId="177" fontId="9" fillId="0" borderId="6" xfId="4" applyNumberFormat="1" applyFont="1" applyFill="1" applyBorder="1" applyAlignment="1">
      <alignment vertical="top"/>
    </xf>
    <xf numFmtId="49" fontId="40" fillId="0" borderId="6" xfId="4" applyNumberFormat="1" applyFont="1" applyFill="1" applyBorder="1" applyAlignment="1">
      <alignment horizontal="center" vertical="top"/>
    </xf>
    <xf numFmtId="0" fontId="31" fillId="0" borderId="5" xfId="0" applyFont="1" applyFill="1" applyBorder="1" applyAlignment="1">
      <alignment vertical="top"/>
    </xf>
    <xf numFmtId="0" fontId="31" fillId="0" borderId="5" xfId="0" applyFont="1" applyBorder="1" applyAlignment="1">
      <alignment horizontal="left" indent="1"/>
    </xf>
    <xf numFmtId="0" fontId="5" fillId="0" borderId="24" xfId="0" applyFont="1" applyBorder="1" applyAlignment="1">
      <alignment horizontal="center"/>
    </xf>
    <xf numFmtId="177" fontId="5" fillId="0" borderId="5" xfId="0" applyNumberFormat="1" applyFont="1" applyBorder="1" applyAlignment="1">
      <alignment horizontal="center" vertical="center"/>
    </xf>
    <xf numFmtId="177" fontId="31" fillId="0" borderId="7" xfId="4" applyNumberFormat="1" applyFont="1" applyFill="1" applyBorder="1"/>
    <xf numFmtId="177" fontId="5" fillId="0" borderId="3" xfId="4" applyNumberFormat="1" applyFont="1" applyFill="1" applyBorder="1"/>
    <xf numFmtId="178" fontId="19" fillId="0" borderId="24" xfId="0" applyNumberFormat="1" applyFont="1" applyFill="1" applyBorder="1" applyAlignment="1">
      <alignment horizontal="center" vertical="center" shrinkToFit="1"/>
    </xf>
    <xf numFmtId="177" fontId="12" fillId="0" borderId="24" xfId="0" applyNumberFormat="1" applyFont="1" applyFill="1" applyBorder="1" applyAlignment="1">
      <alignment horizontal="center" vertical="center" shrinkToFit="1"/>
    </xf>
    <xf numFmtId="177" fontId="12" fillId="0" borderId="5" xfId="0" applyNumberFormat="1" applyFont="1" applyFill="1" applyBorder="1" applyAlignment="1">
      <alignment horizontal="center" vertical="center" shrinkToFit="1"/>
    </xf>
    <xf numFmtId="177" fontId="12" fillId="0" borderId="5" xfId="4" applyNumberFormat="1" applyFont="1" applyFill="1" applyBorder="1" applyAlignment="1">
      <alignment vertical="center" shrinkToFit="1"/>
    </xf>
    <xf numFmtId="177" fontId="5" fillId="0" borderId="5" xfId="4" applyNumberFormat="1" applyFont="1" applyFill="1" applyBorder="1" applyAlignment="1">
      <alignment vertical="center" shrinkToFit="1"/>
    </xf>
    <xf numFmtId="177" fontId="5" fillId="0" borderId="5" xfId="4" applyNumberFormat="1" applyFont="1" applyFill="1" applyBorder="1" applyAlignment="1">
      <alignment vertical="top"/>
    </xf>
    <xf numFmtId="177" fontId="28" fillId="0" borderId="17" xfId="0" applyNumberFormat="1" applyFont="1" applyFill="1" applyBorder="1" applyAlignment="1">
      <alignment vertical="center" shrinkToFit="1"/>
    </xf>
    <xf numFmtId="178" fontId="11" fillId="0" borderId="24" xfId="0" applyNumberFormat="1" applyFont="1" applyFill="1" applyBorder="1" applyAlignment="1">
      <alignment horizontal="center" vertical="center" shrinkToFit="1"/>
    </xf>
    <xf numFmtId="178" fontId="12" fillId="0" borderId="14" xfId="0" applyNumberFormat="1" applyFont="1" applyFill="1" applyBorder="1" applyAlignment="1">
      <alignment vertical="center"/>
    </xf>
    <xf numFmtId="178" fontId="12" fillId="0" borderId="5" xfId="0" applyNumberFormat="1" applyFont="1" applyFill="1" applyBorder="1" applyAlignment="1">
      <alignment vertical="top" shrinkToFit="1"/>
    </xf>
    <xf numFmtId="183" fontId="12" fillId="0" borderId="0" xfId="0" applyNumberFormat="1" applyFont="1" applyFill="1" applyBorder="1" applyAlignment="1">
      <alignment vertical="top"/>
    </xf>
    <xf numFmtId="177" fontId="12" fillId="0" borderId="24" xfId="4" applyNumberFormat="1" applyFont="1" applyFill="1" applyBorder="1" applyAlignment="1">
      <alignment vertical="top" shrinkToFit="1"/>
    </xf>
    <xf numFmtId="177" fontId="12" fillId="0" borderId="5" xfId="4" applyNumberFormat="1" applyFont="1" applyFill="1" applyBorder="1" applyAlignment="1">
      <alignment vertical="top" shrinkToFit="1"/>
    </xf>
    <xf numFmtId="178" fontId="5" fillId="0" borderId="6" xfId="0" applyNumberFormat="1" applyFont="1" applyFill="1" applyBorder="1" applyAlignment="1">
      <alignment vertical="center"/>
    </xf>
    <xf numFmtId="178" fontId="12" fillId="0" borderId="6" xfId="0" applyNumberFormat="1" applyFont="1" applyFill="1" applyBorder="1" applyAlignment="1">
      <alignment vertical="center"/>
    </xf>
    <xf numFmtId="0" fontId="5" fillId="0" borderId="35" xfId="0" applyFont="1" applyFill="1" applyBorder="1"/>
    <xf numFmtId="0" fontId="5" fillId="0" borderId="3" xfId="0" applyFont="1" applyBorder="1" applyAlignment="1">
      <alignment horizontal="center" vertical="center" wrapText="1"/>
    </xf>
    <xf numFmtId="0" fontId="5" fillId="0" borderId="36" xfId="0" applyFont="1" applyBorder="1" applyAlignment="1">
      <alignment horizontal="center" vertical="center" wrapText="1"/>
    </xf>
    <xf numFmtId="177" fontId="12" fillId="0" borderId="6" xfId="4" applyNumberFormat="1" applyFont="1" applyFill="1" applyBorder="1" applyAlignment="1">
      <alignment horizontal="center" vertical="top" wrapText="1"/>
    </xf>
    <xf numFmtId="177" fontId="5" fillId="0" borderId="6" xfId="0" applyNumberFormat="1" applyFont="1" applyFill="1" applyBorder="1" applyAlignment="1">
      <alignment horizontal="center" wrapText="1"/>
    </xf>
    <xf numFmtId="177" fontId="5" fillId="0" borderId="6" xfId="4" applyNumberFormat="1" applyFont="1" applyFill="1" applyBorder="1" applyAlignment="1">
      <alignment horizontal="center" wrapText="1"/>
    </xf>
    <xf numFmtId="0" fontId="5" fillId="0" borderId="6" xfId="0" applyFont="1" applyBorder="1" applyAlignment="1">
      <alignment wrapText="1"/>
    </xf>
    <xf numFmtId="177" fontId="12" fillId="0" borderId="35" xfId="0" applyNumberFormat="1" applyFont="1" applyBorder="1" applyAlignment="1">
      <alignment vertical="center" wrapText="1"/>
    </xf>
    <xf numFmtId="177" fontId="31" fillId="0" borderId="20" xfId="4" applyNumberFormat="1" applyFont="1" applyFill="1" applyBorder="1"/>
    <xf numFmtId="177" fontId="28" fillId="0" borderId="22" xfId="0" applyNumberFormat="1" applyFont="1" applyFill="1" applyBorder="1"/>
    <xf numFmtId="177" fontId="28" fillId="3" borderId="14" xfId="4" applyNumberFormat="1" applyFont="1" applyFill="1" applyBorder="1"/>
    <xf numFmtId="177" fontId="31" fillId="3" borderId="14" xfId="4" applyNumberFormat="1" applyFont="1" applyFill="1" applyBorder="1"/>
    <xf numFmtId="177" fontId="31" fillId="3" borderId="18" xfId="4" applyNumberFormat="1" applyFont="1" applyFill="1" applyBorder="1"/>
    <xf numFmtId="177" fontId="28" fillId="3" borderId="18" xfId="0" applyNumberFormat="1" applyFont="1" applyFill="1" applyBorder="1"/>
    <xf numFmtId="177" fontId="31" fillId="3" borderId="22" xfId="4" applyNumberFormat="1" applyFont="1" applyFill="1" applyBorder="1"/>
    <xf numFmtId="177" fontId="28" fillId="3" borderId="21" xfId="4" applyNumberFormat="1" applyFont="1" applyFill="1" applyBorder="1"/>
    <xf numFmtId="177" fontId="28" fillId="3" borderId="22" xfId="0" applyNumberFormat="1" applyFont="1" applyFill="1" applyBorder="1"/>
    <xf numFmtId="0" fontId="65" fillId="0" borderId="17" xfId="0" applyFont="1" applyFill="1" applyBorder="1"/>
    <xf numFmtId="0" fontId="31" fillId="0" borderId="8" xfId="0" applyFont="1" applyBorder="1" applyAlignment="1">
      <alignment horizontal="left" vertical="top" indent="1"/>
    </xf>
    <xf numFmtId="177" fontId="31" fillId="0" borderId="7" xfId="4" applyNumberFormat="1" applyFont="1" applyBorder="1" applyAlignment="1">
      <alignment vertical="top"/>
    </xf>
    <xf numFmtId="0" fontId="28" fillId="0" borderId="8" xfId="0" applyFont="1" applyBorder="1" applyAlignment="1">
      <alignment horizontal="left" vertical="center"/>
    </xf>
    <xf numFmtId="177" fontId="31" fillId="0" borderId="7" xfId="4" applyNumberFormat="1" applyFont="1" applyBorder="1" applyAlignment="1">
      <alignment vertical="center"/>
    </xf>
    <xf numFmtId="0" fontId="28" fillId="0" borderId="8" xfId="0" applyFont="1" applyFill="1" applyBorder="1" applyAlignment="1">
      <alignment vertical="center"/>
    </xf>
    <xf numFmtId="177" fontId="46" fillId="0" borderId="6" xfId="4" applyNumberFormat="1" applyFont="1" applyFill="1" applyBorder="1" applyAlignment="1">
      <alignment vertical="center"/>
    </xf>
    <xf numFmtId="0" fontId="5" fillId="0" borderId="21" xfId="0" applyFont="1" applyFill="1" applyBorder="1" applyAlignment="1">
      <alignment vertical="top" wrapText="1"/>
    </xf>
    <xf numFmtId="0" fontId="12" fillId="0" borderId="21" xfId="0" applyFont="1" applyFill="1" applyBorder="1" applyAlignment="1">
      <alignment vertical="top" wrapText="1"/>
    </xf>
    <xf numFmtId="0" fontId="5" fillId="0" borderId="21" xfId="0" applyFont="1" applyFill="1" applyBorder="1" applyAlignment="1">
      <alignment vertical="top"/>
    </xf>
    <xf numFmtId="177" fontId="5" fillId="0" borderId="3" xfId="4" applyNumberFormat="1" applyFont="1" applyBorder="1" applyAlignment="1">
      <alignment vertical="center"/>
    </xf>
    <xf numFmtId="0" fontId="7" fillId="0" borderId="0" xfId="0" applyFont="1" applyFill="1" applyAlignment="1">
      <alignment horizontal="center"/>
    </xf>
    <xf numFmtId="0" fontId="33"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31" fillId="0" borderId="8"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31" fillId="0" borderId="31" xfId="0" applyFont="1" applyFill="1" applyBorder="1" applyAlignment="1">
      <alignment horizontal="center" vertical="center"/>
    </xf>
    <xf numFmtId="0" fontId="20" fillId="0" borderId="32" xfId="0" applyFont="1" applyFill="1" applyBorder="1" applyAlignment="1">
      <alignment horizontal="left" vertical="center"/>
    </xf>
    <xf numFmtId="0" fontId="5" fillId="0" borderId="19" xfId="0" applyFont="1" applyFill="1" applyBorder="1" applyAlignment="1">
      <alignment horizontal="left" vertical="center"/>
    </xf>
    <xf numFmtId="49" fontId="5" fillId="0" borderId="33" xfId="0" applyNumberFormat="1" applyFont="1" applyFill="1" applyBorder="1" applyAlignment="1">
      <alignment horizontal="left" vertical="center"/>
    </xf>
    <xf numFmtId="0" fontId="20" fillId="0" borderId="8" xfId="0" applyFont="1" applyFill="1" applyBorder="1" applyAlignment="1">
      <alignment horizontal="left" vertical="center"/>
    </xf>
    <xf numFmtId="0" fontId="5" fillId="0" borderId="0" xfId="0" applyFont="1" applyFill="1" applyBorder="1" applyAlignment="1">
      <alignment horizontal="left" vertical="center"/>
    </xf>
    <xf numFmtId="49" fontId="72" fillId="0" borderId="11" xfId="0" applyNumberFormat="1" applyFont="1" applyFill="1" applyBorder="1" applyAlignment="1">
      <alignment horizontal="left" vertical="center"/>
    </xf>
    <xf numFmtId="0" fontId="20" fillId="0" borderId="8" xfId="0" applyFont="1" applyFill="1" applyBorder="1"/>
    <xf numFmtId="0" fontId="72" fillId="0" borderId="11" xfId="0" applyFont="1" applyFill="1" applyBorder="1"/>
    <xf numFmtId="0" fontId="72" fillId="0" borderId="11" xfId="0" applyFont="1" applyFill="1" applyBorder="1" applyAlignment="1">
      <alignment horizontal="left"/>
    </xf>
    <xf numFmtId="0" fontId="7" fillId="0" borderId="8" xfId="0" applyFont="1" applyFill="1" applyBorder="1" applyAlignment="1"/>
    <xf numFmtId="0" fontId="5" fillId="0" borderId="0" xfId="0" applyFont="1" applyFill="1" applyAlignment="1"/>
    <xf numFmtId="49" fontId="72" fillId="0" borderId="11" xfId="0" applyNumberFormat="1" applyFont="1" applyFill="1" applyBorder="1" applyAlignment="1">
      <alignment horizontal="left"/>
    </xf>
    <xf numFmtId="0" fontId="1" fillId="0" borderId="0" xfId="0" applyFont="1" applyFill="1"/>
    <xf numFmtId="0" fontId="7" fillId="0" borderId="8" xfId="0" applyFont="1" applyFill="1" applyBorder="1"/>
    <xf numFmtId="0" fontId="77" fillId="0" borderId="8" xfId="0" applyFont="1" applyFill="1" applyBorder="1"/>
    <xf numFmtId="0" fontId="7" fillId="0" borderId="8" xfId="0" applyFont="1" applyFill="1" applyBorder="1" applyAlignment="1">
      <alignment horizontal="left"/>
    </xf>
    <xf numFmtId="0" fontId="1" fillId="0" borderId="0" xfId="0" applyFont="1" applyFill="1" applyBorder="1"/>
    <xf numFmtId="0" fontId="0" fillId="0" borderId="23" xfId="0" applyFill="1" applyBorder="1"/>
    <xf numFmtId="0" fontId="0" fillId="0" borderId="12" xfId="0" applyFill="1" applyBorder="1"/>
    <xf numFmtId="0" fontId="5" fillId="0" borderId="13" xfId="0" applyFont="1" applyFill="1" applyBorder="1"/>
    <xf numFmtId="178" fontId="11" fillId="0" borderId="21" xfId="4" applyNumberFormat="1" applyFont="1" applyFill="1" applyBorder="1"/>
    <xf numFmtId="178" fontId="11" fillId="0" borderId="5" xfId="4" applyNumberFormat="1" applyFont="1" applyFill="1" applyBorder="1"/>
    <xf numFmtId="41" fontId="11" fillId="0" borderId="21" xfId="0" applyNumberFormat="1" applyFont="1" applyFill="1" applyBorder="1"/>
    <xf numFmtId="0" fontId="8" fillId="0" borderId="22" xfId="0" applyFont="1" applyFill="1" applyBorder="1"/>
    <xf numFmtId="0" fontId="5" fillId="0" borderId="14" xfId="0" applyFont="1" applyFill="1" applyBorder="1" applyAlignment="1">
      <alignment vertical="top"/>
    </xf>
    <xf numFmtId="0" fontId="5" fillId="0" borderId="21" xfId="0" applyFont="1" applyFill="1" applyBorder="1" applyAlignment="1"/>
    <xf numFmtId="49" fontId="5" fillId="0" borderId="14" xfId="0" applyNumberFormat="1" applyFont="1" applyFill="1" applyBorder="1" applyAlignment="1">
      <alignment vertical="top" wrapText="1"/>
    </xf>
    <xf numFmtId="49" fontId="5" fillId="0" borderId="14" xfId="0" applyNumberFormat="1" applyFont="1" applyFill="1" applyBorder="1" applyAlignment="1">
      <alignment horizontal="left" vertical="top" wrapText="1"/>
    </xf>
    <xf numFmtId="0" fontId="5" fillId="0" borderId="21" xfId="0" applyFont="1" applyFill="1" applyBorder="1" applyAlignment="1">
      <alignment wrapText="1"/>
    </xf>
    <xf numFmtId="0" fontId="12" fillId="0" borderId="21" xfId="0" applyFont="1" applyFill="1" applyBorder="1" applyAlignment="1">
      <alignment horizontal="left" vertical="top"/>
    </xf>
    <xf numFmtId="0" fontId="12" fillId="0" borderId="21" xfId="0" applyFont="1" applyFill="1" applyBorder="1" applyAlignment="1">
      <alignment vertical="top"/>
    </xf>
    <xf numFmtId="0" fontId="5" fillId="0" borderId="14" xfId="0" applyFont="1" applyFill="1" applyBorder="1" applyAlignment="1">
      <alignment vertical="top" wrapText="1"/>
    </xf>
    <xf numFmtId="0" fontId="5" fillId="0" borderId="14" xfId="0" applyFont="1" applyFill="1" applyBorder="1" applyAlignment="1">
      <alignment horizontal="left" vertical="top"/>
    </xf>
    <xf numFmtId="41" fontId="5" fillId="0" borderId="14" xfId="4" applyNumberFormat="1" applyFont="1" applyFill="1" applyBorder="1"/>
    <xf numFmtId="0" fontId="8" fillId="0" borderId="21" xfId="0" applyFont="1" applyFill="1" applyBorder="1"/>
    <xf numFmtId="41" fontId="8" fillId="0" borderId="6" xfId="0" applyNumberFormat="1" applyFont="1" applyFill="1" applyBorder="1"/>
    <xf numFmtId="41" fontId="8" fillId="0" borderId="35" xfId="0" applyNumberFormat="1" applyFont="1" applyFill="1" applyBorder="1"/>
    <xf numFmtId="177" fontId="5" fillId="0" borderId="0" xfId="4" applyNumberFormat="1" applyFont="1" applyFill="1" applyAlignment="1">
      <alignment horizontal="center"/>
    </xf>
    <xf numFmtId="177" fontId="6" fillId="0" borderId="0" xfId="4" applyNumberFormat="1" applyFont="1" applyFill="1" applyAlignment="1">
      <alignment horizontal="center"/>
    </xf>
    <xf numFmtId="177" fontId="7" fillId="0" borderId="0" xfId="4" applyNumberFormat="1" applyFont="1" applyFill="1" applyAlignment="1">
      <alignment horizontal="center"/>
    </xf>
    <xf numFmtId="177" fontId="8" fillId="0" borderId="0" xfId="4" applyNumberFormat="1" applyFont="1" applyFill="1" applyAlignment="1">
      <alignment horizontal="center"/>
    </xf>
    <xf numFmtId="41" fontId="5" fillId="0" borderId="0" xfId="0" applyNumberFormat="1" applyFont="1" applyFill="1" applyAlignment="1">
      <alignment horizontal="center"/>
    </xf>
    <xf numFmtId="177" fontId="8" fillId="0" borderId="0" xfId="4" applyNumberFormat="1" applyFont="1" applyFill="1" applyBorder="1" applyAlignment="1">
      <alignment horizontal="center"/>
    </xf>
    <xf numFmtId="177" fontId="5" fillId="0" borderId="0" xfId="4" applyNumberFormat="1" applyFont="1" applyFill="1" applyBorder="1"/>
    <xf numFmtId="177" fontId="5" fillId="0" borderId="0" xfId="4" applyNumberFormat="1" applyFont="1" applyFill="1"/>
    <xf numFmtId="41" fontId="5" fillId="0" borderId="6" xfId="0" applyNumberFormat="1" applyFont="1" applyFill="1" applyBorder="1" applyAlignment="1">
      <alignment vertical="top"/>
    </xf>
    <xf numFmtId="41" fontId="5" fillId="0" borderId="6" xfId="4" applyNumberFormat="1" applyFont="1" applyFill="1" applyBorder="1" applyAlignment="1">
      <alignment vertical="top"/>
    </xf>
    <xf numFmtId="177" fontId="8" fillId="0" borderId="0" xfId="4" applyNumberFormat="1" applyFont="1" applyFill="1" applyBorder="1"/>
    <xf numFmtId="177" fontId="8" fillId="0" borderId="0" xfId="4" applyNumberFormat="1" applyFont="1" applyFill="1"/>
    <xf numFmtId="177" fontId="9" fillId="0" borderId="0" xfId="4" applyNumberFormat="1" applyFont="1" applyFill="1" applyBorder="1"/>
    <xf numFmtId="0" fontId="9" fillId="0" borderId="0" xfId="0" applyFont="1" applyFill="1" applyBorder="1"/>
    <xf numFmtId="0" fontId="57" fillId="0" borderId="0" xfId="0" applyFont="1" applyFill="1" applyBorder="1"/>
    <xf numFmtId="41" fontId="5" fillId="0" borderId="6" xfId="0" applyNumberFormat="1" applyFont="1" applyFill="1" applyBorder="1"/>
    <xf numFmtId="0" fontId="8" fillId="0" borderId="14" xfId="0" applyFont="1" applyFill="1" applyBorder="1"/>
    <xf numFmtId="0" fontId="8" fillId="0" borderId="0" xfId="0" applyFont="1" applyFill="1"/>
    <xf numFmtId="0" fontId="5" fillId="0" borderId="0" xfId="0" applyFont="1" applyFill="1" applyBorder="1" applyAlignment="1">
      <alignment horizontal="left" vertical="top"/>
    </xf>
    <xf numFmtId="0" fontId="57" fillId="0" borderId="4" xfId="0" applyFont="1" applyFill="1" applyBorder="1"/>
    <xf numFmtId="41" fontId="0" fillId="0" borderId="0" xfId="0" applyNumberFormat="1" applyFont="1" applyFill="1"/>
    <xf numFmtId="0" fontId="31" fillId="0" borderId="0" xfId="0" applyFont="1" applyFill="1" applyAlignment="1">
      <alignment horizontal="center"/>
    </xf>
    <xf numFmtId="0" fontId="31" fillId="0" borderId="0" xfId="0" applyFont="1" applyFill="1" applyAlignment="1">
      <alignment horizontal="right"/>
    </xf>
    <xf numFmtId="0" fontId="23" fillId="0" borderId="0" xfId="0" applyFont="1" applyFill="1"/>
    <xf numFmtId="0" fontId="31" fillId="0" borderId="4" xfId="0" applyFont="1" applyFill="1" applyBorder="1" applyAlignment="1">
      <alignment horizontal="center" vertical="center"/>
    </xf>
    <xf numFmtId="0" fontId="31" fillId="0" borderId="4" xfId="0" applyFont="1" applyFill="1" applyBorder="1" applyAlignment="1">
      <alignment horizontal="center" vertical="center" wrapText="1"/>
    </xf>
    <xf numFmtId="0" fontId="28" fillId="0" borderId="8" xfId="0" applyFont="1" applyFill="1" applyBorder="1" applyAlignment="1">
      <alignment horizontal="left"/>
    </xf>
    <xf numFmtId="0" fontId="31" fillId="0" borderId="7" xfId="0" applyFont="1" applyFill="1" applyBorder="1" applyAlignment="1">
      <alignment horizontal="center"/>
    </xf>
    <xf numFmtId="0" fontId="31" fillId="0" borderId="14" xfId="0" applyFont="1" applyFill="1" applyBorder="1" applyAlignment="1">
      <alignment horizontal="center"/>
    </xf>
    <xf numFmtId="0" fontId="23" fillId="0" borderId="0" xfId="0" applyFont="1" applyFill="1" applyAlignment="1"/>
    <xf numFmtId="0" fontId="31" fillId="0" borderId="8" xfId="0" applyFont="1" applyFill="1" applyBorder="1" applyAlignment="1"/>
    <xf numFmtId="0" fontId="24" fillId="0" borderId="14" xfId="0" applyFont="1" applyFill="1" applyBorder="1" applyAlignment="1">
      <alignment wrapText="1"/>
    </xf>
    <xf numFmtId="0" fontId="31" fillId="0" borderId="0" xfId="0" applyFont="1" applyFill="1" applyAlignment="1"/>
    <xf numFmtId="0" fontId="24" fillId="0" borderId="14" xfId="0" applyFont="1" applyFill="1" applyBorder="1" applyAlignment="1">
      <alignment horizontal="left"/>
    </xf>
    <xf numFmtId="0" fontId="24" fillId="0" borderId="14" xfId="0" applyFont="1" applyFill="1" applyBorder="1" applyAlignment="1"/>
    <xf numFmtId="0" fontId="31" fillId="0" borderId="7" xfId="0" applyFont="1" applyFill="1" applyBorder="1" applyAlignment="1">
      <alignment horizontal="center" wrapText="1"/>
    </xf>
    <xf numFmtId="0" fontId="5" fillId="0" borderId="8" xfId="0" applyFont="1" applyFill="1" applyBorder="1" applyAlignment="1">
      <alignment horizontal="left"/>
    </xf>
    <xf numFmtId="0" fontId="5" fillId="0" borderId="7" xfId="0" applyFont="1" applyFill="1" applyBorder="1" applyAlignment="1">
      <alignment wrapText="1"/>
    </xf>
    <xf numFmtId="0" fontId="5" fillId="0" borderId="14" xfId="0" applyFont="1" applyFill="1" applyBorder="1" applyAlignment="1">
      <alignment horizontal="left" wrapText="1"/>
    </xf>
    <xf numFmtId="0" fontId="80" fillId="0" borderId="7" xfId="0" applyFont="1" applyFill="1" applyBorder="1" applyAlignment="1">
      <alignment vertical="center" wrapText="1"/>
    </xf>
    <xf numFmtId="0" fontId="31" fillId="0" borderId="5" xfId="0" applyFont="1" applyFill="1" applyBorder="1" applyAlignment="1"/>
    <xf numFmtId="0" fontId="24" fillId="0" borderId="7" xfId="0" applyFont="1" applyFill="1" applyBorder="1" applyAlignment="1">
      <alignment horizontal="left"/>
    </xf>
    <xf numFmtId="177" fontId="37" fillId="0" borderId="5" xfId="4" applyNumberFormat="1" applyFont="1" applyFill="1" applyBorder="1"/>
    <xf numFmtId="177" fontId="24" fillId="0" borderId="5" xfId="0" applyNumberFormat="1" applyFont="1" applyFill="1" applyBorder="1"/>
    <xf numFmtId="0" fontId="24" fillId="0" borderId="14" xfId="0" applyFont="1" applyFill="1" applyBorder="1"/>
    <xf numFmtId="0" fontId="31" fillId="0" borderId="8" xfId="0" applyFont="1" applyFill="1" applyBorder="1" applyAlignment="1">
      <alignment horizontal="left" vertical="top"/>
    </xf>
    <xf numFmtId="0" fontId="31" fillId="0" borderId="7" xfId="0" applyFont="1" applyFill="1" applyBorder="1" applyAlignment="1">
      <alignment horizontal="left" vertical="top"/>
    </xf>
    <xf numFmtId="0" fontId="24" fillId="0" borderId="7" xfId="0" applyFont="1" applyFill="1" applyBorder="1" applyAlignment="1">
      <alignment horizontal="center"/>
    </xf>
    <xf numFmtId="177" fontId="24" fillId="0" borderId="5" xfId="4" applyNumberFormat="1" applyFont="1" applyFill="1" applyBorder="1"/>
    <xf numFmtId="10" fontId="24" fillId="0" borderId="5" xfId="4" applyNumberFormat="1" applyFont="1" applyFill="1" applyBorder="1"/>
    <xf numFmtId="0" fontId="39" fillId="0" borderId="8" xfId="0" applyFont="1" applyFill="1" applyBorder="1"/>
    <xf numFmtId="0" fontId="39" fillId="0" borderId="7" xfId="0" applyFont="1" applyFill="1" applyBorder="1" applyAlignment="1">
      <alignment horizontal="left"/>
    </xf>
    <xf numFmtId="0" fontId="39" fillId="0" borderId="5" xfId="0" applyFont="1" applyFill="1" applyBorder="1"/>
    <xf numFmtId="177" fontId="39" fillId="0" borderId="5" xfId="4" applyNumberFormat="1" applyFont="1" applyFill="1" applyBorder="1"/>
    <xf numFmtId="0" fontId="41" fillId="0" borderId="14" xfId="0" applyFont="1" applyFill="1" applyBorder="1"/>
    <xf numFmtId="0" fontId="35" fillId="0" borderId="7" xfId="0" applyFont="1" applyFill="1" applyBorder="1" applyAlignment="1">
      <alignment horizontal="center"/>
    </xf>
    <xf numFmtId="0" fontId="47" fillId="0" borderId="14" xfId="0" applyFont="1" applyFill="1" applyBorder="1"/>
    <xf numFmtId="0" fontId="28" fillId="0" borderId="0" xfId="0" applyFont="1" applyFill="1"/>
    <xf numFmtId="0" fontId="39" fillId="0" borderId="23" xfId="0" applyFont="1" applyFill="1" applyBorder="1"/>
    <xf numFmtId="0" fontId="39" fillId="0" borderId="27" xfId="0" applyFont="1" applyFill="1" applyBorder="1"/>
    <xf numFmtId="0" fontId="39" fillId="0" borderId="17" xfId="0" applyFont="1" applyFill="1" applyBorder="1"/>
    <xf numFmtId="0" fontId="41" fillId="0" borderId="18" xfId="0" applyFont="1" applyFill="1" applyBorder="1"/>
    <xf numFmtId="0" fontId="23" fillId="0" borderId="3" xfId="0" applyFont="1" applyFill="1" applyBorder="1" applyAlignment="1">
      <alignment horizontal="center" vertical="center"/>
    </xf>
    <xf numFmtId="0" fontId="23" fillId="0" borderId="3" xfId="0" applyFont="1" applyFill="1" applyBorder="1" applyAlignment="1">
      <alignment horizontal="center" vertical="center" wrapText="1"/>
    </xf>
    <xf numFmtId="0" fontId="31" fillId="0" borderId="3" xfId="0" applyFont="1" applyFill="1" applyBorder="1" applyAlignment="1">
      <alignment horizontal="center" vertical="center"/>
    </xf>
    <xf numFmtId="0" fontId="31" fillId="0" borderId="39" xfId="0" applyFont="1" applyFill="1" applyBorder="1" applyAlignment="1">
      <alignment horizontal="center" vertical="center"/>
    </xf>
    <xf numFmtId="0" fontId="28" fillId="0" borderId="45" xfId="0" applyFont="1" applyFill="1" applyBorder="1" applyAlignment="1">
      <alignment horizontal="left" vertical="center"/>
    </xf>
    <xf numFmtId="0" fontId="46" fillId="0" borderId="38" xfId="0" applyFont="1" applyFill="1" applyBorder="1" applyAlignment="1">
      <alignment horizontal="center" vertical="top"/>
    </xf>
    <xf numFmtId="0" fontId="46" fillId="0" borderId="24" xfId="0" applyFont="1" applyFill="1" applyBorder="1" applyAlignment="1">
      <alignment horizontal="center" vertical="center"/>
    </xf>
    <xf numFmtId="177" fontId="12" fillId="0" borderId="30" xfId="0" applyNumberFormat="1" applyFont="1" applyFill="1" applyBorder="1" applyAlignment="1">
      <alignment horizontal="center" vertical="center" shrinkToFit="1"/>
    </xf>
    <xf numFmtId="0" fontId="32" fillId="0" borderId="0" xfId="0" applyFont="1" applyFill="1" applyAlignment="1">
      <alignment horizontal="center" vertical="top"/>
    </xf>
    <xf numFmtId="177" fontId="12" fillId="0" borderId="14" xfId="0" applyNumberFormat="1" applyFont="1" applyFill="1" applyBorder="1" applyAlignment="1">
      <alignment horizontal="center" vertical="center" shrinkToFit="1"/>
    </xf>
    <xf numFmtId="0" fontId="32" fillId="0" borderId="0" xfId="0" applyFont="1" applyFill="1" applyAlignment="1">
      <alignment horizontal="center" vertical="center"/>
    </xf>
    <xf numFmtId="177" fontId="12" fillId="0" borderId="14" xfId="4" applyNumberFormat="1" applyFont="1" applyFill="1" applyBorder="1" applyAlignment="1">
      <alignment vertical="center" shrinkToFit="1"/>
    </xf>
    <xf numFmtId="0" fontId="24" fillId="0" borderId="0" xfId="0" applyFont="1" applyFill="1" applyAlignment="1">
      <alignment vertical="center"/>
    </xf>
    <xf numFmtId="177" fontId="5" fillId="0" borderId="14" xfId="4" applyNumberFormat="1" applyFont="1" applyFill="1" applyBorder="1" applyAlignment="1">
      <alignment vertical="center"/>
    </xf>
    <xf numFmtId="177" fontId="5" fillId="0" borderId="14" xfId="4" applyNumberFormat="1" applyFont="1" applyFill="1" applyBorder="1" applyAlignment="1">
      <alignment vertical="center" shrinkToFit="1"/>
    </xf>
    <xf numFmtId="0" fontId="33" fillId="0" borderId="7" xfId="0" applyFont="1" applyFill="1" applyBorder="1" applyAlignment="1">
      <alignment vertical="center"/>
    </xf>
    <xf numFmtId="0" fontId="33" fillId="0" borderId="5" xfId="0" applyFont="1" applyFill="1" applyBorder="1" applyAlignment="1">
      <alignment vertical="center"/>
    </xf>
    <xf numFmtId="177" fontId="12" fillId="0" borderId="14" xfId="4" applyNumberFormat="1" applyFont="1" applyFill="1" applyBorder="1" applyAlignment="1">
      <alignment vertical="center"/>
    </xf>
    <xf numFmtId="0" fontId="30" fillId="0" borderId="0" xfId="0" applyFont="1" applyFill="1" applyAlignment="1">
      <alignment vertical="center"/>
    </xf>
    <xf numFmtId="41" fontId="31" fillId="0" borderId="14" xfId="4" applyNumberFormat="1" applyFont="1" applyFill="1" applyBorder="1" applyAlignment="1">
      <alignment vertical="center"/>
    </xf>
    <xf numFmtId="177" fontId="5" fillId="0" borderId="14" xfId="4" applyNumberFormat="1" applyFont="1" applyFill="1" applyBorder="1" applyAlignment="1">
      <alignment vertical="top"/>
    </xf>
    <xf numFmtId="0" fontId="30" fillId="0" borderId="0" xfId="0" applyFont="1" applyFill="1" applyAlignment="1"/>
    <xf numFmtId="0" fontId="5" fillId="0" borderId="0" xfId="0" applyFont="1" applyFill="1" applyBorder="1" applyAlignment="1">
      <alignment horizontal="left" vertical="center" wrapText="1"/>
    </xf>
    <xf numFmtId="177" fontId="28" fillId="0" borderId="18" xfId="0" applyNumberFormat="1" applyFont="1" applyFill="1" applyBorder="1" applyAlignment="1">
      <alignment vertical="center" shrinkToFit="1"/>
    </xf>
    <xf numFmtId="0" fontId="32" fillId="0" borderId="0" xfId="0" applyFont="1" applyFill="1" applyAlignment="1">
      <alignment vertical="center"/>
    </xf>
    <xf numFmtId="0" fontId="34" fillId="0" borderId="0" xfId="0" applyFont="1" applyFill="1" applyAlignment="1">
      <alignment horizontal="center"/>
    </xf>
    <xf numFmtId="0" fontId="37" fillId="0" borderId="0" xfId="0" applyFont="1" applyFill="1" applyAlignment="1">
      <alignment horizontal="center"/>
    </xf>
    <xf numFmtId="0" fontId="24" fillId="0" borderId="0" xfId="0" applyFont="1" applyFill="1" applyAlignment="1">
      <alignment horizontal="center"/>
    </xf>
    <xf numFmtId="0" fontId="24" fillId="0" borderId="0" xfId="0" applyFont="1" applyFill="1" applyAlignment="1">
      <alignment horizontal="right"/>
    </xf>
    <xf numFmtId="0" fontId="32" fillId="0" borderId="19" xfId="0" applyFont="1" applyFill="1" applyBorder="1" applyAlignment="1">
      <alignment horizontal="center"/>
    </xf>
    <xf numFmtId="0" fontId="31" fillId="0" borderId="12" xfId="0" applyFont="1" applyFill="1" applyBorder="1" applyAlignment="1">
      <alignment horizontal="center"/>
    </xf>
    <xf numFmtId="0" fontId="28" fillId="0" borderId="28" xfId="0" applyFont="1" applyFill="1" applyBorder="1" applyAlignment="1">
      <alignment horizontal="left"/>
    </xf>
    <xf numFmtId="0" fontId="31" fillId="0" borderId="38" xfId="0" applyFont="1" applyFill="1" applyBorder="1" applyAlignment="1">
      <alignment horizontal="center"/>
    </xf>
    <xf numFmtId="177" fontId="28" fillId="0" borderId="11" xfId="0" applyNumberFormat="1" applyFont="1" applyFill="1" applyBorder="1" applyAlignment="1">
      <alignment horizontal="center"/>
    </xf>
    <xf numFmtId="0" fontId="31" fillId="0" borderId="0" xfId="0" applyFont="1" applyFill="1" applyBorder="1" applyAlignment="1">
      <alignment horizontal="center"/>
    </xf>
    <xf numFmtId="177" fontId="28" fillId="0" borderId="11" xfId="4" applyNumberFormat="1" applyFont="1" applyFill="1" applyBorder="1"/>
    <xf numFmtId="0" fontId="30" fillId="0" borderId="0" xfId="0" applyFont="1" applyFill="1"/>
    <xf numFmtId="177" fontId="12" fillId="0" borderId="11" xfId="4" applyNumberFormat="1" applyFont="1" applyFill="1" applyBorder="1"/>
    <xf numFmtId="0" fontId="27" fillId="0" borderId="0" xfId="0" applyFont="1" applyFill="1"/>
    <xf numFmtId="177" fontId="31" fillId="0" borderId="11" xfId="4" applyNumberFormat="1" applyFont="1" applyFill="1" applyBorder="1"/>
    <xf numFmtId="0" fontId="24" fillId="0" borderId="0" xfId="0" applyFont="1" applyFill="1"/>
    <xf numFmtId="177" fontId="5" fillId="0" borderId="11" xfId="4" applyNumberFormat="1" applyFont="1" applyFill="1" applyBorder="1"/>
    <xf numFmtId="177" fontId="28" fillId="0" borderId="22" xfId="0" applyNumberFormat="1" applyFont="1" applyFill="1" applyBorder="1" applyAlignment="1">
      <alignment horizontal="center"/>
    </xf>
    <xf numFmtId="177" fontId="28" fillId="0" borderId="17" xfId="0" applyNumberFormat="1" applyFont="1" applyFill="1" applyBorder="1" applyAlignment="1">
      <alignment horizontal="center"/>
    </xf>
    <xf numFmtId="177" fontId="28" fillId="0" borderId="18" xfId="0" applyNumberFormat="1" applyFont="1" applyFill="1" applyBorder="1"/>
    <xf numFmtId="0" fontId="37" fillId="0" borderId="0" xfId="0" applyFont="1" applyFill="1"/>
    <xf numFmtId="41" fontId="24" fillId="0" borderId="9" xfId="0" applyNumberFormat="1" applyFont="1" applyFill="1" applyBorder="1" applyAlignment="1">
      <alignment horizontal="center" vertical="center" wrapText="1"/>
    </xf>
    <xf numFmtId="41" fontId="31" fillId="0" borderId="31" xfId="0" applyNumberFormat="1" applyFont="1" applyFill="1" applyBorder="1" applyAlignment="1">
      <alignment horizontal="center" vertical="center" wrapText="1"/>
    </xf>
    <xf numFmtId="41" fontId="31" fillId="0" borderId="10" xfId="0" applyNumberFormat="1" applyFont="1" applyFill="1" applyBorder="1" applyAlignment="1">
      <alignment horizontal="center" vertical="center" wrapText="1"/>
    </xf>
    <xf numFmtId="41" fontId="5" fillId="0" borderId="5" xfId="4" applyNumberFormat="1" applyFont="1" applyFill="1" applyBorder="1" applyAlignment="1">
      <alignment vertical="center"/>
    </xf>
    <xf numFmtId="41" fontId="31" fillId="0" borderId="0" xfId="0" applyNumberFormat="1" applyFont="1" applyFill="1"/>
    <xf numFmtId="0" fontId="5" fillId="0" borderId="9"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0" fillId="0" borderId="5" xfId="0" applyFill="1" applyBorder="1" applyAlignment="1">
      <alignment vertical="center"/>
    </xf>
    <xf numFmtId="0" fontId="0" fillId="0" borderId="14" xfId="0" applyFill="1" applyBorder="1" applyAlignment="1">
      <alignment vertical="center"/>
    </xf>
    <xf numFmtId="0" fontId="5" fillId="0" borderId="22" xfId="0" applyFont="1" applyFill="1" applyBorder="1" applyAlignment="1">
      <alignment horizontal="center"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0" xfId="0" applyFont="1" applyFill="1" applyAlignment="1">
      <alignment vertical="center"/>
    </xf>
    <xf numFmtId="0" fontId="28" fillId="0" borderId="0" xfId="0" applyFont="1" applyFill="1" applyBorder="1" applyAlignment="1">
      <alignment horizontal="left"/>
    </xf>
    <xf numFmtId="0" fontId="31" fillId="0" borderId="6" xfId="0" applyFont="1" applyFill="1" applyBorder="1" applyAlignment="1">
      <alignment horizontal="left"/>
    </xf>
    <xf numFmtId="0" fontId="24" fillId="0" borderId="6" xfId="0" applyFont="1" applyFill="1" applyBorder="1" applyAlignment="1"/>
    <xf numFmtId="0" fontId="24" fillId="0" borderId="0" xfId="0" applyFont="1" applyFill="1" applyBorder="1" applyAlignment="1"/>
    <xf numFmtId="0" fontId="25" fillId="0" borderId="6" xfId="0" applyFont="1" applyFill="1" applyBorder="1" applyAlignment="1">
      <alignment horizontal="left"/>
    </xf>
    <xf numFmtId="0" fontId="28" fillId="0" borderId="5" xfId="0" applyFont="1" applyFill="1" applyBorder="1" applyAlignment="1">
      <alignment horizontal="left"/>
    </xf>
    <xf numFmtId="177" fontId="31" fillId="3" borderId="14" xfId="4" applyNumberFormat="1" applyFont="1" applyFill="1" applyBorder="1" applyAlignment="1">
      <alignment vertical="center"/>
    </xf>
    <xf numFmtId="0" fontId="8" fillId="3" borderId="16" xfId="0" applyFont="1" applyFill="1" applyBorder="1" applyAlignment="1"/>
    <xf numFmtId="177" fontId="5" fillId="0" borderId="5" xfId="0" applyNumberFormat="1" applyFont="1" applyFill="1" applyBorder="1" applyAlignment="1"/>
    <xf numFmtId="41" fontId="5" fillId="3" borderId="5" xfId="0" applyNumberFormat="1" applyFont="1" applyFill="1" applyBorder="1" applyAlignment="1">
      <alignment vertical="center"/>
    </xf>
    <xf numFmtId="177" fontId="80" fillId="3" borderId="5" xfId="4" applyNumberFormat="1" applyFont="1" applyFill="1" applyBorder="1" applyAlignment="1">
      <alignment vertical="center"/>
    </xf>
    <xf numFmtId="178" fontId="5" fillId="0" borderId="5" xfId="0" applyNumberFormat="1" applyFont="1" applyFill="1" applyBorder="1" applyAlignment="1">
      <alignment horizontal="right"/>
    </xf>
    <xf numFmtId="177" fontId="32" fillId="0" borderId="0" xfId="0" applyNumberFormat="1" applyFont="1" applyFill="1" applyAlignment="1">
      <alignment horizontal="center"/>
    </xf>
    <xf numFmtId="177" fontId="32" fillId="5" borderId="0" xfId="0" applyNumberFormat="1" applyFont="1" applyFill="1" applyAlignment="1">
      <alignment horizontal="center"/>
    </xf>
    <xf numFmtId="0" fontId="32" fillId="5" borderId="0" xfId="0" applyFont="1" applyFill="1" applyAlignment="1">
      <alignment horizontal="center"/>
    </xf>
    <xf numFmtId="0" fontId="5" fillId="0" borderId="0" xfId="0" applyFont="1" applyBorder="1" applyAlignment="1">
      <alignment horizontal="left" vertical="center" indent="1"/>
    </xf>
    <xf numFmtId="177" fontId="87" fillId="3" borderId="16" xfId="4" applyNumberFormat="1" applyFont="1" applyFill="1" applyBorder="1"/>
    <xf numFmtId="177" fontId="88" fillId="0" borderId="5" xfId="0" applyNumberFormat="1" applyFont="1" applyFill="1" applyBorder="1"/>
    <xf numFmtId="177" fontId="5" fillId="3" borderId="5" xfId="4" applyNumberFormat="1" applyFont="1" applyFill="1" applyBorder="1"/>
    <xf numFmtId="177" fontId="28" fillId="3" borderId="24" xfId="0" applyNumberFormat="1" applyFont="1" applyFill="1" applyBorder="1" applyAlignment="1">
      <alignment horizontal="center"/>
    </xf>
    <xf numFmtId="177" fontId="12" fillId="3" borderId="5" xfId="4" applyNumberFormat="1" applyFont="1" applyFill="1" applyBorder="1"/>
    <xf numFmtId="177" fontId="28" fillId="3" borderId="37" xfId="0" applyNumberFormat="1" applyFont="1" applyFill="1" applyBorder="1" applyAlignment="1">
      <alignment horizontal="center"/>
    </xf>
    <xf numFmtId="177" fontId="12" fillId="3" borderId="21" xfId="4" applyNumberFormat="1" applyFont="1" applyFill="1" applyBorder="1"/>
    <xf numFmtId="177" fontId="5" fillId="3" borderId="21" xfId="4" applyNumberFormat="1" applyFont="1" applyFill="1" applyBorder="1"/>
    <xf numFmtId="177" fontId="11" fillId="0" borderId="37" xfId="4" applyNumberFormat="1" applyFont="1" applyFill="1" applyBorder="1"/>
    <xf numFmtId="177" fontId="9" fillId="0" borderId="21" xfId="4" applyNumberFormat="1" applyFont="1" applyFill="1" applyBorder="1"/>
    <xf numFmtId="177" fontId="11" fillId="0" borderId="21" xfId="4" applyNumberFormat="1" applyFont="1" applyFill="1" applyBorder="1"/>
    <xf numFmtId="177" fontId="11" fillId="0" borderId="24" xfId="4" applyNumberFormat="1" applyFont="1" applyFill="1" applyBorder="1"/>
    <xf numFmtId="41" fontId="5" fillId="0" borderId="37" xfId="5" applyFont="1" applyFill="1" applyBorder="1"/>
    <xf numFmtId="177" fontId="5" fillId="0" borderId="5" xfId="4" applyNumberFormat="1" applyFont="1" applyFill="1" applyBorder="1"/>
    <xf numFmtId="41" fontId="5" fillId="0" borderId="6" xfId="4" applyNumberFormat="1" applyFont="1" applyFill="1" applyBorder="1"/>
    <xf numFmtId="177" fontId="5" fillId="0" borderId="5" xfId="0" applyNumberFormat="1" applyFont="1" applyFill="1" applyBorder="1" applyAlignment="1">
      <alignment horizontal="center"/>
    </xf>
    <xf numFmtId="177" fontId="31" fillId="0" borderId="5" xfId="4" applyNumberFormat="1" applyFont="1" applyFill="1" applyBorder="1" applyAlignment="1">
      <alignment vertical="top"/>
    </xf>
    <xf numFmtId="0" fontId="31" fillId="0" borderId="14" xfId="0" applyFont="1" applyFill="1" applyBorder="1" applyAlignment="1">
      <alignment vertical="top" wrapText="1"/>
    </xf>
    <xf numFmtId="178" fontId="12" fillId="6" borderId="5" xfId="0" applyNumberFormat="1" applyFont="1" applyFill="1" applyBorder="1" applyAlignment="1">
      <alignment vertical="center"/>
    </xf>
    <xf numFmtId="177" fontId="28" fillId="0" borderId="37" xfId="4" applyNumberFormat="1" applyFont="1" applyFill="1" applyBorder="1" applyAlignment="1">
      <alignment vertical="center"/>
    </xf>
    <xf numFmtId="177" fontId="28" fillId="0" borderId="22" xfId="4" applyNumberFormat="1" applyFont="1" applyFill="1" applyBorder="1" applyAlignment="1">
      <alignment vertical="center"/>
    </xf>
    <xf numFmtId="177" fontId="5" fillId="0" borderId="5" xfId="4" applyNumberFormat="1" applyFont="1" applyFill="1" applyBorder="1" applyAlignment="1">
      <alignment vertical="top" shrinkToFit="1"/>
    </xf>
    <xf numFmtId="0" fontId="17" fillId="0" borderId="0" xfId="0" applyFont="1" applyFill="1" applyAlignment="1">
      <alignment horizontal="center" vertical="center"/>
    </xf>
    <xf numFmtId="0" fontId="19" fillId="0" borderId="0" xfId="0" applyFont="1" applyFill="1" applyAlignment="1">
      <alignment horizontal="center" vertical="center"/>
    </xf>
    <xf numFmtId="0" fontId="7" fillId="0" borderId="0" xfId="0" applyFont="1" applyFill="1" applyAlignment="1">
      <alignment horizontal="center" vertical="center"/>
    </xf>
    <xf numFmtId="0" fontId="58" fillId="0" borderId="0" xfId="0" applyFont="1" applyBorder="1" applyAlignment="1">
      <alignment horizontal="center" vertical="center"/>
    </xf>
    <xf numFmtId="0" fontId="21" fillId="0" borderId="0" xfId="0" applyFont="1" applyBorder="1" applyAlignment="1">
      <alignment horizontal="center" vertical="center"/>
    </xf>
    <xf numFmtId="0" fontId="17" fillId="0" borderId="0" xfId="0" applyFont="1" applyAlignment="1">
      <alignment horizontal="center"/>
    </xf>
    <xf numFmtId="0" fontId="16" fillId="0" borderId="0" xfId="0" applyFont="1" applyAlignment="1">
      <alignment horizontal="center"/>
    </xf>
    <xf numFmtId="0" fontId="19" fillId="0" borderId="0" xfId="0" applyFont="1" applyAlignment="1">
      <alignment horizontal="center"/>
    </xf>
    <xf numFmtId="0" fontId="7" fillId="0" borderId="0" xfId="0" applyFont="1" applyAlignment="1">
      <alignment horizontal="center"/>
    </xf>
    <xf numFmtId="0" fontId="22" fillId="0" borderId="0" xfId="0" applyFont="1" applyAlignment="1">
      <alignment horizontal="center" vertical="top"/>
    </xf>
    <xf numFmtId="0" fontId="0" fillId="0" borderId="0" xfId="0" applyAlignment="1">
      <alignment horizontal="center" vertical="top"/>
    </xf>
    <xf numFmtId="0" fontId="15" fillId="0" borderId="0" xfId="0" applyFont="1" applyAlignment="1">
      <alignment horizontal="center"/>
    </xf>
    <xf numFmtId="0" fontId="26" fillId="0" borderId="0" xfId="0" applyFont="1" applyAlignment="1">
      <alignment horizontal="center" vertical="center"/>
    </xf>
    <xf numFmtId="0" fontId="0" fillId="0" borderId="0" xfId="0" applyAlignment="1">
      <alignment horizontal="center" vertical="center"/>
    </xf>
    <xf numFmtId="0" fontId="19" fillId="0" borderId="0" xfId="0" applyFont="1" applyAlignment="1">
      <alignment horizontal="center" vertical="center"/>
    </xf>
    <xf numFmtId="0" fontId="22" fillId="0" borderId="0" xfId="0" applyFont="1" applyAlignment="1">
      <alignment horizontal="center" vertical="center"/>
    </xf>
    <xf numFmtId="0" fontId="59" fillId="0" borderId="0" xfId="0" applyFont="1" applyAlignment="1">
      <alignment horizontal="center" vertical="center"/>
    </xf>
    <xf numFmtId="0" fontId="50" fillId="0" borderId="0" xfId="0" applyFont="1" applyAlignment="1">
      <alignment horizontal="center" vertical="top"/>
    </xf>
    <xf numFmtId="0" fontId="8" fillId="0" borderId="28" xfId="0" applyFont="1" applyFill="1" applyBorder="1" applyAlignment="1">
      <alignment horizontal="left" wrapText="1"/>
    </xf>
    <xf numFmtId="0" fontId="5" fillId="0" borderId="0" xfId="0" applyFont="1" applyAlignment="1">
      <alignment horizontal="right"/>
    </xf>
    <xf numFmtId="0" fontId="12" fillId="0" borderId="0" xfId="0" applyFont="1" applyAlignment="1">
      <alignment horizontal="center" vertical="center"/>
    </xf>
    <xf numFmtId="0" fontId="58" fillId="0" borderId="0" xfId="0" applyFont="1" applyAlignment="1">
      <alignment horizontal="center" vertical="center"/>
    </xf>
    <xf numFmtId="0" fontId="8" fillId="0" borderId="19"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8" fillId="0" borderId="0" xfId="0" applyFont="1" applyFill="1" applyBorder="1" applyAlignment="1">
      <alignment horizontal="left" vertical="center"/>
    </xf>
    <xf numFmtId="0" fontId="5" fillId="0" borderId="0" xfId="0" applyFont="1" applyFill="1" applyBorder="1" applyAlignment="1">
      <alignment horizontal="left" vertical="center"/>
    </xf>
    <xf numFmtId="0" fontId="66" fillId="0" borderId="0" xfId="0" applyFont="1" applyFill="1" applyAlignment="1">
      <alignment horizontal="center" vertical="center"/>
    </xf>
    <xf numFmtId="0" fontId="16" fillId="0" borderId="0" xfId="0" applyFont="1" applyFill="1" applyAlignment="1">
      <alignment horizontal="center" vertical="center"/>
    </xf>
    <xf numFmtId="0" fontId="5" fillId="0" borderId="50"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1" xfId="0" applyFont="1" applyFill="1" applyBorder="1" applyAlignment="1">
      <alignment horizontal="center" vertical="center" wrapText="1"/>
    </xf>
    <xf numFmtId="0" fontId="0" fillId="0" borderId="41" xfId="0" applyFont="1" applyFill="1" applyBorder="1" applyAlignment="1">
      <alignment horizontal="center" vertical="center" wrapText="1"/>
    </xf>
    <xf numFmtId="0" fontId="5" fillId="0" borderId="51"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 xfId="0" applyFont="1" applyFill="1" applyBorder="1" applyAlignment="1">
      <alignment horizontal="center" vertical="center"/>
    </xf>
    <xf numFmtId="0" fontId="31" fillId="0" borderId="0" xfId="0" applyFont="1" applyBorder="1" applyAlignment="1">
      <alignment horizontal="left" wrapText="1"/>
    </xf>
    <xf numFmtId="0" fontId="31" fillId="0" borderId="11" xfId="0" applyFont="1" applyBorder="1" applyAlignment="1">
      <alignment horizontal="left" wrapText="1"/>
    </xf>
    <xf numFmtId="0" fontId="5" fillId="0" borderId="0" xfId="0" applyFont="1" applyBorder="1" applyAlignment="1">
      <alignment horizontal="left" vertical="center" wrapText="1" indent="2"/>
    </xf>
    <xf numFmtId="0" fontId="5" fillId="0" borderId="11" xfId="0" applyFont="1" applyBorder="1" applyAlignment="1">
      <alignment horizontal="left" vertical="center" wrapText="1" indent="2"/>
    </xf>
    <xf numFmtId="0" fontId="5" fillId="0" borderId="0" xfId="0" applyFont="1" applyBorder="1" applyAlignment="1">
      <alignment horizontal="left" vertical="center" wrapText="1" indent="1"/>
    </xf>
    <xf numFmtId="0" fontId="5" fillId="0" borderId="11" xfId="0" applyFont="1" applyBorder="1" applyAlignment="1">
      <alignment horizontal="left" vertical="center" wrapText="1" indent="1"/>
    </xf>
    <xf numFmtId="0" fontId="31" fillId="0" borderId="0" xfId="0" applyFont="1" applyBorder="1" applyAlignment="1">
      <alignment horizontal="left" vertical="center" wrapText="1" indent="3"/>
    </xf>
    <xf numFmtId="0" fontId="31" fillId="0" borderId="11" xfId="0" applyFont="1" applyBorder="1" applyAlignment="1">
      <alignment horizontal="left" vertical="center" wrapText="1" indent="3"/>
    </xf>
    <xf numFmtId="0" fontId="73" fillId="0" borderId="0" xfId="0" applyFont="1" applyAlignment="1">
      <alignment horizontal="center" vertical="center"/>
    </xf>
    <xf numFmtId="0" fontId="76" fillId="0" borderId="0" xfId="0" applyFont="1" applyAlignment="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0" fontId="31" fillId="0" borderId="0" xfId="0" applyFont="1" applyBorder="1" applyAlignment="1">
      <alignment horizontal="left" wrapText="1" indent="1"/>
    </xf>
    <xf numFmtId="0" fontId="31" fillId="0" borderId="11" xfId="0" applyFont="1" applyBorder="1" applyAlignment="1">
      <alignment horizontal="left" wrapText="1" indent="1"/>
    </xf>
    <xf numFmtId="0" fontId="5" fillId="0" borderId="0" xfId="0" applyFont="1" applyBorder="1" applyAlignment="1">
      <alignment horizontal="left" wrapText="1" indent="1"/>
    </xf>
    <xf numFmtId="0" fontId="5" fillId="0" borderId="11" xfId="0" applyFont="1" applyBorder="1" applyAlignment="1">
      <alignment horizontal="left" wrapText="1" indent="1"/>
    </xf>
    <xf numFmtId="0" fontId="37" fillId="0" borderId="0" xfId="0" applyFont="1" applyBorder="1" applyAlignment="1">
      <alignment horizontal="center" vertical="center"/>
    </xf>
    <xf numFmtId="0" fontId="0" fillId="0" borderId="0" xfId="0" applyAlignment="1"/>
    <xf numFmtId="0" fontId="42" fillId="0" borderId="0" xfId="0" applyFont="1" applyAlignment="1">
      <alignment horizontal="center" vertical="center"/>
    </xf>
    <xf numFmtId="0" fontId="45" fillId="0" borderId="0" xfId="0" applyFont="1" applyAlignment="1">
      <alignment horizontal="center" vertical="center"/>
    </xf>
    <xf numFmtId="0" fontId="67" fillId="0" borderId="0" xfId="0" applyFont="1" applyAlignment="1"/>
    <xf numFmtId="0" fontId="31" fillId="0" borderId="0" xfId="0" applyFont="1" applyBorder="1" applyAlignment="1">
      <alignment horizontal="left" vertical="center" wrapText="1" indent="2"/>
    </xf>
    <xf numFmtId="0" fontId="31" fillId="0" borderId="11" xfId="0" applyFont="1" applyBorder="1" applyAlignment="1">
      <alignment horizontal="left" vertical="center" wrapText="1" indent="2"/>
    </xf>
    <xf numFmtId="0" fontId="89" fillId="0" borderId="0" xfId="0" applyFont="1" applyBorder="1" applyAlignment="1">
      <alignment horizontal="left" vertical="center" wrapText="1" indent="2"/>
    </xf>
    <xf numFmtId="0" fontId="89" fillId="0" borderId="11" xfId="0" applyFont="1" applyBorder="1" applyAlignment="1">
      <alignment horizontal="left" vertical="center" wrapText="1" indent="2"/>
    </xf>
    <xf numFmtId="0" fontId="31" fillId="0" borderId="19" xfId="0" applyFont="1" applyBorder="1" applyAlignment="1">
      <alignment horizontal="left" wrapText="1"/>
    </xf>
    <xf numFmtId="0" fontId="31" fillId="0" borderId="33" xfId="0" applyFont="1" applyBorder="1" applyAlignment="1">
      <alignment horizontal="left" wrapText="1"/>
    </xf>
    <xf numFmtId="0" fontId="5" fillId="0" borderId="6" xfId="0" applyFont="1" applyFill="1" applyBorder="1" applyAlignment="1">
      <alignment horizontal="left" wrapText="1" indent="1"/>
    </xf>
    <xf numFmtId="0" fontId="5" fillId="0" borderId="7" xfId="0" applyFont="1" applyFill="1" applyBorder="1" applyAlignment="1">
      <alignment horizontal="left" wrapText="1" indent="1"/>
    </xf>
    <xf numFmtId="0" fontId="7" fillId="0" borderId="0" xfId="0" applyFont="1" applyFill="1" applyAlignment="1">
      <alignment horizontal="center"/>
    </xf>
    <xf numFmtId="0" fontId="17" fillId="0" borderId="0" xfId="0" applyFont="1" applyFill="1" applyAlignment="1">
      <alignment horizontal="center"/>
    </xf>
    <xf numFmtId="0" fontId="16" fillId="0" borderId="0" xfId="0" applyFont="1" applyFill="1" applyAlignment="1">
      <alignment horizontal="center"/>
    </xf>
    <xf numFmtId="0" fontId="19" fillId="0" borderId="0" xfId="0" applyFont="1" applyFill="1" applyAlignment="1">
      <alignment horizontal="center"/>
    </xf>
    <xf numFmtId="0" fontId="8" fillId="0" borderId="51"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50" xfId="0" applyFont="1" applyFill="1" applyBorder="1" applyAlignment="1">
      <alignment horizontal="center" vertical="center"/>
    </xf>
    <xf numFmtId="0" fontId="5" fillId="0" borderId="46" xfId="0" applyFont="1" applyFill="1" applyBorder="1" applyAlignment="1">
      <alignment horizontal="center" vertical="center"/>
    </xf>
    <xf numFmtId="0" fontId="0" fillId="0" borderId="48" xfId="0" applyFont="1" applyFill="1" applyBorder="1" applyAlignment="1">
      <alignment horizontal="center" vertical="center"/>
    </xf>
    <xf numFmtId="0" fontId="5" fillId="0" borderId="49" xfId="0" applyFont="1" applyFill="1" applyBorder="1" applyAlignment="1">
      <alignment horizontal="center" vertical="center"/>
    </xf>
    <xf numFmtId="0" fontId="5" fillId="0" borderId="44"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25" xfId="0" applyFont="1" applyFill="1" applyBorder="1" applyAlignment="1">
      <alignment horizontal="center" vertical="center"/>
    </xf>
    <xf numFmtId="0" fontId="5" fillId="0" borderId="19" xfId="0" applyFont="1" applyFill="1" applyBorder="1" applyAlignment="1">
      <alignment horizontal="left" vertical="top" wrapText="1"/>
    </xf>
    <xf numFmtId="0" fontId="0" fillId="0" borderId="19" xfId="0" applyFont="1" applyFill="1" applyBorder="1" applyAlignment="1">
      <alignment horizontal="left" vertical="top" wrapText="1"/>
    </xf>
    <xf numFmtId="0" fontId="5" fillId="0" borderId="42" xfId="0" applyFont="1" applyFill="1" applyBorder="1" applyAlignment="1">
      <alignment horizontal="center" vertical="center"/>
    </xf>
    <xf numFmtId="0" fontId="0" fillId="0" borderId="53" xfId="0" applyFont="1" applyFill="1" applyBorder="1" applyAlignment="1">
      <alignment horizontal="center" vertical="center"/>
    </xf>
    <xf numFmtId="41" fontId="5" fillId="0" borderId="49" xfId="0" applyNumberFormat="1" applyFont="1" applyFill="1" applyBorder="1" applyAlignment="1">
      <alignment horizontal="center" vertical="center"/>
    </xf>
    <xf numFmtId="41" fontId="0" fillId="0" borderId="52" xfId="0" applyNumberFormat="1" applyFont="1" applyFill="1" applyBorder="1" applyAlignment="1">
      <alignment vertical="center"/>
    </xf>
    <xf numFmtId="0" fontId="73" fillId="0" borderId="0" xfId="0" applyFont="1" applyFill="1" applyAlignment="1">
      <alignment horizontal="center"/>
    </xf>
    <xf numFmtId="0" fontId="45" fillId="0" borderId="0" xfId="0" applyFont="1" applyFill="1" applyAlignment="1">
      <alignment horizontal="center"/>
    </xf>
    <xf numFmtId="0" fontId="42" fillId="0" borderId="0" xfId="0" applyFont="1" applyFill="1" applyAlignment="1">
      <alignment horizontal="center"/>
    </xf>
    <xf numFmtId="0" fontId="37" fillId="0" borderId="0" xfId="0" applyFont="1" applyFill="1" applyAlignment="1">
      <alignment horizontal="center"/>
    </xf>
    <xf numFmtId="0" fontId="35" fillId="0" borderId="8" xfId="0" applyFont="1" applyFill="1" applyBorder="1" applyAlignment="1">
      <alignment horizontal="center" wrapText="1"/>
    </xf>
    <xf numFmtId="0" fontId="7" fillId="0" borderId="7" xfId="0" applyFont="1" applyFill="1" applyBorder="1" applyAlignment="1">
      <alignment horizontal="center" wrapText="1"/>
    </xf>
    <xf numFmtId="0" fontId="24" fillId="0" borderId="51" xfId="0" applyFont="1" applyFill="1" applyBorder="1" applyAlignment="1">
      <alignment horizontal="center" vertical="center"/>
    </xf>
    <xf numFmtId="0" fontId="31" fillId="0" borderId="54" xfId="0" applyFont="1" applyFill="1" applyBorder="1" applyAlignment="1">
      <alignment horizontal="center" vertical="center"/>
    </xf>
    <xf numFmtId="0" fontId="31" fillId="0" borderId="40" xfId="0" applyFont="1" applyFill="1" applyBorder="1" applyAlignment="1">
      <alignment horizontal="center" vertical="center"/>
    </xf>
    <xf numFmtId="0" fontId="31" fillId="0" borderId="32" xfId="0" applyFont="1" applyFill="1" applyBorder="1" applyAlignment="1">
      <alignment horizontal="center" vertical="center"/>
    </xf>
    <xf numFmtId="0" fontId="31" fillId="0" borderId="44" xfId="0" applyFont="1" applyFill="1" applyBorder="1" applyAlignment="1">
      <alignment horizontal="center" vertical="center"/>
    </xf>
    <xf numFmtId="0" fontId="31" fillId="0" borderId="55" xfId="0" applyFont="1" applyFill="1" applyBorder="1" applyAlignment="1">
      <alignment horizontal="center" vertical="center"/>
    </xf>
    <xf numFmtId="0" fontId="31" fillId="0" borderId="25" xfId="0" applyFont="1" applyFill="1" applyBorder="1" applyAlignment="1">
      <alignment horizontal="center" vertical="center"/>
    </xf>
    <xf numFmtId="0" fontId="31" fillId="0" borderId="43"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46" xfId="0" applyFont="1" applyFill="1" applyBorder="1" applyAlignment="1">
      <alignment horizontal="center" vertical="center"/>
    </xf>
    <xf numFmtId="0" fontId="31" fillId="0" borderId="48" xfId="0" applyFont="1" applyFill="1" applyBorder="1" applyAlignment="1">
      <alignment horizontal="center" vertical="center"/>
    </xf>
    <xf numFmtId="0" fontId="30" fillId="0" borderId="0" xfId="0" applyFont="1" applyBorder="1" applyAlignment="1">
      <alignment vertical="top" wrapText="1"/>
    </xf>
    <xf numFmtId="0" fontId="73" fillId="0" borderId="0" xfId="0" applyFont="1" applyAlignment="1">
      <alignment horizontal="center"/>
    </xf>
    <xf numFmtId="0" fontId="45" fillId="0" borderId="0" xfId="0" applyFont="1" applyAlignment="1">
      <alignment horizontal="center"/>
    </xf>
    <xf numFmtId="0" fontId="42" fillId="0" borderId="0" xfId="0" applyFont="1" applyAlignment="1">
      <alignment horizontal="center"/>
    </xf>
    <xf numFmtId="0" fontId="37" fillId="0" borderId="0" xfId="0" applyFont="1" applyAlignment="1">
      <alignment horizontal="center"/>
    </xf>
    <xf numFmtId="0" fontId="31" fillId="0" borderId="32" xfId="0" applyFont="1" applyBorder="1" applyAlignment="1">
      <alignment horizontal="center" vertical="center"/>
    </xf>
    <xf numFmtId="0" fontId="31" fillId="0" borderId="44" xfId="0" applyFont="1" applyBorder="1" applyAlignment="1">
      <alignment horizontal="center" vertical="center"/>
    </xf>
    <xf numFmtId="0" fontId="32" fillId="0" borderId="55" xfId="0" applyFont="1" applyBorder="1" applyAlignment="1">
      <alignment horizontal="center" vertical="center"/>
    </xf>
    <xf numFmtId="0" fontId="32" fillId="0" borderId="25" xfId="0" applyFont="1" applyBorder="1" applyAlignment="1">
      <alignment horizontal="center" vertical="center"/>
    </xf>
    <xf numFmtId="0" fontId="31" fillId="0" borderId="43" xfId="0" applyFont="1" applyBorder="1" applyAlignment="1">
      <alignment horizontal="center" vertical="center"/>
    </xf>
    <xf numFmtId="0" fontId="32" fillId="0" borderId="4" xfId="0" applyFont="1" applyBorder="1" applyAlignment="1">
      <alignment horizontal="center" vertical="center"/>
    </xf>
    <xf numFmtId="0" fontId="31" fillId="0" borderId="46" xfId="0" applyFont="1" applyBorder="1" applyAlignment="1">
      <alignment horizontal="distributed" vertical="center"/>
    </xf>
    <xf numFmtId="0" fontId="32" fillId="0" borderId="48" xfId="0" applyFont="1" applyBorder="1" applyAlignment="1">
      <alignment horizontal="distributed" vertical="center"/>
    </xf>
    <xf numFmtId="0" fontId="33" fillId="0" borderId="8"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28" fillId="0" borderId="23" xfId="0" applyFont="1" applyFill="1" applyBorder="1" applyAlignment="1">
      <alignment horizontal="center" vertical="center"/>
    </xf>
    <xf numFmtId="0" fontId="29" fillId="0" borderId="27"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31" xfId="0" applyFont="1" applyFill="1" applyBorder="1" applyAlignment="1">
      <alignment horizontal="center" vertical="center"/>
    </xf>
    <xf numFmtId="0" fontId="31" fillId="0" borderId="34" xfId="0" applyFont="1" applyFill="1" applyBorder="1" applyAlignment="1">
      <alignment horizontal="center" vertical="center"/>
    </xf>
    <xf numFmtId="0" fontId="31" fillId="0" borderId="3" xfId="0" applyFont="1" applyFill="1" applyBorder="1" applyAlignment="1">
      <alignment horizontal="center" vertical="center"/>
    </xf>
    <xf numFmtId="0" fontId="33" fillId="0" borderId="8" xfId="0" applyFont="1" applyFill="1" applyBorder="1" applyAlignment="1">
      <alignment horizontal="left" vertical="center"/>
    </xf>
    <xf numFmtId="0" fontId="31" fillId="0" borderId="7" xfId="0" applyFont="1" applyFill="1" applyBorder="1" applyAlignment="1">
      <alignment horizontal="left" vertical="center"/>
    </xf>
    <xf numFmtId="0" fontId="31"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33" fillId="0" borderId="7" xfId="0" applyFont="1" applyFill="1" applyBorder="1" applyAlignment="1">
      <alignment horizontal="left" vertical="center"/>
    </xf>
    <xf numFmtId="0" fontId="33" fillId="0" borderId="8" xfId="0" applyFont="1" applyFill="1" applyBorder="1" applyAlignment="1">
      <alignment vertical="top" wrapText="1"/>
    </xf>
    <xf numFmtId="0" fontId="0" fillId="0" borderId="7" xfId="0" applyFill="1" applyBorder="1" applyAlignment="1">
      <alignment vertical="top" wrapText="1"/>
    </xf>
    <xf numFmtId="0" fontId="31" fillId="0" borderId="8" xfId="0" applyFont="1" applyFill="1" applyBorder="1" applyAlignment="1">
      <alignment horizontal="left" vertical="center" wrapText="1"/>
    </xf>
    <xf numFmtId="0" fontId="5" fillId="0" borderId="0" xfId="0" applyFont="1" applyFill="1" applyBorder="1" applyAlignment="1">
      <alignment horizontal="left" vertical="center" wrapText="1"/>
    </xf>
    <xf numFmtId="0" fontId="31" fillId="0" borderId="10" xfId="0" applyFont="1" applyFill="1" applyBorder="1" applyAlignment="1">
      <alignment horizontal="center" vertical="center"/>
    </xf>
    <xf numFmtId="0" fontId="33" fillId="0" borderId="12" xfId="0" applyFont="1" applyFill="1" applyBorder="1" applyAlignment="1">
      <alignment horizontal="right"/>
    </xf>
    <xf numFmtId="0" fontId="31" fillId="0" borderId="12" xfId="0" applyFont="1" applyFill="1" applyBorder="1" applyAlignment="1">
      <alignment horizontal="right"/>
    </xf>
    <xf numFmtId="0" fontId="73" fillId="0" borderId="0" xfId="0" applyFont="1" applyFill="1" applyAlignment="1">
      <alignment horizontal="center" vertical="center"/>
    </xf>
    <xf numFmtId="0" fontId="45" fillId="0" borderId="0" xfId="0" applyFont="1" applyFill="1" applyAlignment="1">
      <alignment horizontal="center" vertical="center"/>
    </xf>
    <xf numFmtId="0" fontId="42" fillId="0" borderId="0" xfId="0" applyFont="1" applyFill="1" applyAlignment="1">
      <alignment horizontal="center" vertical="center"/>
    </xf>
    <xf numFmtId="0" fontId="37" fillId="0" borderId="0" xfId="0" applyFont="1" applyFill="1" applyAlignment="1">
      <alignment horizontal="center" vertical="center"/>
    </xf>
    <xf numFmtId="0" fontId="23" fillId="0" borderId="31" xfId="0" applyFont="1" applyFill="1" applyBorder="1" applyAlignment="1">
      <alignment horizontal="center" vertical="center"/>
    </xf>
    <xf numFmtId="0" fontId="23" fillId="0" borderId="3" xfId="0" applyFont="1" applyFill="1" applyBorder="1" applyAlignment="1">
      <alignment horizontal="center" vertical="center"/>
    </xf>
    <xf numFmtId="0" fontId="24" fillId="0" borderId="8" xfId="0" applyFont="1" applyFill="1" applyBorder="1" applyAlignment="1"/>
    <xf numFmtId="0" fontId="5" fillId="0" borderId="11" xfId="0" applyFont="1" applyFill="1" applyBorder="1" applyAlignment="1"/>
    <xf numFmtId="0" fontId="28" fillId="0" borderId="8" xfId="0" applyFont="1" applyFill="1" applyBorder="1" applyAlignment="1">
      <alignment horizontal="left" wrapText="1"/>
    </xf>
    <xf numFmtId="0" fontId="28" fillId="0" borderId="11" xfId="0" applyFont="1" applyFill="1" applyBorder="1" applyAlignment="1">
      <alignment horizontal="left" wrapText="1"/>
    </xf>
    <xf numFmtId="0" fontId="31" fillId="0" borderId="23" xfId="0" applyFont="1" applyFill="1" applyBorder="1" applyAlignment="1">
      <alignment horizontal="center"/>
    </xf>
    <xf numFmtId="0" fontId="30" fillId="0" borderId="13" xfId="0" applyFont="1" applyFill="1" applyBorder="1" applyAlignment="1">
      <alignment horizontal="center"/>
    </xf>
    <xf numFmtId="0" fontId="31" fillId="0" borderId="8" xfId="0" applyFont="1" applyFill="1" applyBorder="1" applyAlignment="1">
      <alignment horizontal="left" wrapText="1"/>
    </xf>
    <xf numFmtId="0" fontId="0" fillId="0" borderId="11" xfId="0" applyFill="1" applyBorder="1" applyAlignment="1">
      <alignment horizontal="left" wrapText="1"/>
    </xf>
    <xf numFmtId="0" fontId="8" fillId="0" borderId="11" xfId="0" applyFont="1" applyFill="1" applyBorder="1" applyAlignment="1"/>
    <xf numFmtId="0" fontId="5" fillId="0" borderId="11" xfId="0" applyFont="1" applyFill="1" applyBorder="1" applyAlignment="1">
      <alignment horizontal="left" wrapText="1"/>
    </xf>
    <xf numFmtId="0" fontId="28" fillId="0" borderId="6" xfId="0" applyFont="1" applyFill="1" applyBorder="1" applyAlignment="1">
      <alignment horizontal="left"/>
    </xf>
    <xf numFmtId="0" fontId="28" fillId="0" borderId="0" xfId="0" applyFont="1" applyFill="1" applyBorder="1" applyAlignment="1">
      <alignment horizontal="left"/>
    </xf>
    <xf numFmtId="0" fontId="24" fillId="0" borderId="12" xfId="0" applyFont="1" applyFill="1" applyBorder="1" applyAlignment="1">
      <alignment horizontal="right"/>
    </xf>
    <xf numFmtId="0" fontId="12" fillId="0" borderId="56" xfId="0" applyFont="1" applyFill="1" applyBorder="1" applyAlignment="1">
      <alignment horizontal="center" vertical="center" wrapText="1"/>
    </xf>
    <xf numFmtId="0" fontId="64" fillId="0" borderId="20" xfId="0" applyFont="1" applyFill="1" applyBorder="1" applyAlignment="1">
      <alignment horizontal="center" vertical="center"/>
    </xf>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13" xfId="0" applyFont="1" applyFill="1" applyBorder="1" applyAlignment="1">
      <alignment horizontal="center" vertical="center"/>
    </xf>
    <xf numFmtId="0" fontId="12" fillId="0" borderId="56" xfId="0" applyFont="1" applyFill="1" applyBorder="1" applyAlignment="1">
      <alignment horizontal="center" vertical="center"/>
    </xf>
    <xf numFmtId="0" fontId="31" fillId="0" borderId="6" xfId="0" applyFont="1" applyFill="1" applyBorder="1" applyAlignment="1">
      <alignment horizontal="left"/>
    </xf>
    <xf numFmtId="0" fontId="31" fillId="0" borderId="0" xfId="0" applyFont="1" applyFill="1" applyBorder="1" applyAlignment="1">
      <alignment horizontal="left"/>
    </xf>
    <xf numFmtId="0" fontId="24" fillId="0" borderId="49" xfId="0" applyFont="1" applyFill="1" applyBorder="1" applyAlignment="1">
      <alignment horizontal="left"/>
    </xf>
    <xf numFmtId="0" fontId="24" fillId="0" borderId="19" xfId="0" applyFont="1" applyFill="1" applyBorder="1" applyAlignment="1">
      <alignment horizontal="left"/>
    </xf>
    <xf numFmtId="0" fontId="24" fillId="0" borderId="6" xfId="0" applyFont="1" applyFill="1" applyBorder="1" applyAlignment="1"/>
    <xf numFmtId="0" fontId="24" fillId="0" borderId="0" xfId="0" applyFont="1" applyFill="1" applyBorder="1" applyAlignment="1"/>
    <xf numFmtId="0" fontId="28" fillId="0" borderId="7" xfId="0" applyFont="1" applyFill="1" applyBorder="1" applyAlignment="1">
      <alignment horizontal="left"/>
    </xf>
    <xf numFmtId="0" fontId="28" fillId="0" borderId="35" xfId="0" applyFont="1" applyFill="1" applyBorder="1" applyAlignment="1">
      <alignment horizontal="center"/>
    </xf>
    <xf numFmtId="0" fontId="28" fillId="0" borderId="27" xfId="0" applyFont="1" applyFill="1" applyBorder="1" applyAlignment="1">
      <alignment horizontal="center"/>
    </xf>
    <xf numFmtId="0" fontId="31" fillId="0" borderId="42" xfId="0" applyFont="1" applyFill="1" applyBorder="1" applyAlignment="1">
      <alignment horizontal="center" vertical="center"/>
    </xf>
    <xf numFmtId="0" fontId="31" fillId="0" borderId="53" xfId="0" applyFont="1" applyFill="1" applyBorder="1" applyAlignment="1">
      <alignment horizontal="center" vertical="center"/>
    </xf>
    <xf numFmtId="0" fontId="37" fillId="0" borderId="0" xfId="0" applyFont="1" applyAlignment="1">
      <alignment horizontal="center" vertical="center"/>
    </xf>
    <xf numFmtId="0" fontId="28" fillId="0" borderId="56" xfId="0" applyFont="1" applyBorder="1" applyAlignment="1">
      <alignment horizontal="center" vertical="center" wrapText="1"/>
    </xf>
    <xf numFmtId="0" fontId="29" fillId="0" borderId="20" xfId="0" applyFont="1" applyBorder="1" applyAlignment="1">
      <alignment horizontal="center" vertical="center"/>
    </xf>
    <xf numFmtId="0" fontId="28" fillId="0" borderId="56"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29" fillId="0" borderId="23" xfId="0" applyFont="1" applyBorder="1" applyAlignment="1">
      <alignment horizontal="center" vertical="center"/>
    </xf>
    <xf numFmtId="0" fontId="29" fillId="0" borderId="13" xfId="0" applyFont="1" applyBorder="1" applyAlignment="1">
      <alignment horizontal="center" vertical="center"/>
    </xf>
    <xf numFmtId="0" fontId="28" fillId="0" borderId="35" xfId="0" applyFont="1" applyFill="1" applyBorder="1" applyAlignment="1">
      <alignment horizontal="left"/>
    </xf>
    <xf numFmtId="0" fontId="28" fillId="0" borderId="12" xfId="0" applyFont="1" applyFill="1" applyBorder="1" applyAlignment="1">
      <alignment horizontal="left"/>
    </xf>
    <xf numFmtId="0" fontId="25" fillId="0" borderId="6" xfId="0" applyFont="1" applyFill="1" applyBorder="1" applyAlignment="1">
      <alignment horizontal="left"/>
    </xf>
    <xf numFmtId="0" fontId="30" fillId="0" borderId="0" xfId="0" applyFont="1" applyBorder="1" applyAlignment="1">
      <alignment horizontal="left"/>
    </xf>
    <xf numFmtId="0" fontId="24" fillId="0" borderId="12" xfId="0" applyFont="1" applyBorder="1" applyAlignment="1">
      <alignment horizontal="right"/>
    </xf>
    <xf numFmtId="0" fontId="12" fillId="0" borderId="27" xfId="0" applyFont="1" applyBorder="1" applyAlignment="1">
      <alignment horizontal="center"/>
    </xf>
    <xf numFmtId="0" fontId="31" fillId="0" borderId="42" xfId="0" applyFont="1" applyBorder="1" applyAlignment="1">
      <alignment horizontal="center" vertical="center"/>
    </xf>
    <xf numFmtId="0" fontId="32" fillId="0" borderId="53" xfId="0" applyFont="1" applyBorder="1" applyAlignment="1">
      <alignment horizontal="center" vertical="center"/>
    </xf>
    <xf numFmtId="0" fontId="31" fillId="0" borderId="33" xfId="0" applyFont="1" applyBorder="1" applyAlignment="1">
      <alignment horizontal="center" vertical="center"/>
    </xf>
    <xf numFmtId="0" fontId="32" fillId="0" borderId="57" xfId="0" applyFont="1" applyBorder="1" applyAlignment="1">
      <alignment horizontal="center" vertical="center"/>
    </xf>
    <xf numFmtId="0" fontId="28" fillId="0" borderId="5" xfId="0" applyFont="1" applyFill="1" applyBorder="1" applyAlignment="1">
      <alignment horizontal="left"/>
    </xf>
    <xf numFmtId="0" fontId="28" fillId="0" borderId="28" xfId="0" applyFont="1" applyBorder="1" applyAlignment="1">
      <alignment horizontal="left"/>
    </xf>
    <xf numFmtId="0" fontId="28" fillId="0" borderId="38" xfId="0" applyFont="1" applyBorder="1" applyAlignment="1">
      <alignment horizontal="left"/>
    </xf>
    <xf numFmtId="0" fontId="31" fillId="0" borderId="56"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13" xfId="0" applyFont="1" applyBorder="1" applyAlignment="1">
      <alignment horizontal="center" vertical="center"/>
    </xf>
    <xf numFmtId="0" fontId="35" fillId="0" borderId="6" xfId="0" applyFont="1" applyFill="1" applyBorder="1" applyAlignment="1">
      <alignment horizontal="left"/>
    </xf>
    <xf numFmtId="0" fontId="5" fillId="0" borderId="12"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7" fillId="0" borderId="0" xfId="0" applyFont="1" applyBorder="1" applyAlignment="1">
      <alignment horizontal="center" vertical="center"/>
    </xf>
    <xf numFmtId="0" fontId="13" fillId="0" borderId="0" xfId="0" applyFont="1" applyAlignment="1">
      <alignment horizontal="center" vertical="center"/>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53" xfId="0" applyFont="1" applyBorder="1" applyAlignment="1">
      <alignment horizontal="center" vertical="center" wrapText="1"/>
    </xf>
    <xf numFmtId="0" fontId="31" fillId="0" borderId="58" xfId="0" applyFont="1" applyBorder="1" applyAlignment="1">
      <alignment horizontal="center" wrapText="1"/>
    </xf>
    <xf numFmtId="0" fontId="31" fillId="0" borderId="26" xfId="0" applyFont="1" applyBorder="1" applyAlignment="1">
      <alignment horizontal="center" wrapText="1"/>
    </xf>
    <xf numFmtId="0" fontId="23" fillId="0" borderId="58" xfId="0" applyFont="1" applyBorder="1" applyAlignment="1">
      <alignment horizontal="center" wrapText="1"/>
    </xf>
    <xf numFmtId="0" fontId="23" fillId="0" borderId="26" xfId="0" applyFont="1" applyBorder="1" applyAlignment="1">
      <alignment horizontal="center" wrapText="1"/>
    </xf>
    <xf numFmtId="0" fontId="31" fillId="0" borderId="51" xfId="0" applyFont="1" applyBorder="1" applyAlignment="1">
      <alignment horizontal="center" wrapText="1"/>
    </xf>
    <xf numFmtId="0" fontId="31" fillId="0" borderId="41" xfId="0" applyFont="1" applyBorder="1" applyAlignment="1">
      <alignment horizontal="center" wrapText="1"/>
    </xf>
    <xf numFmtId="0" fontId="31" fillId="0" borderId="4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4" xfId="0" applyFont="1" applyBorder="1" applyAlignment="1">
      <alignment horizontal="center" wrapText="1"/>
    </xf>
    <xf numFmtId="0" fontId="31" fillId="0" borderId="40" xfId="0" applyFont="1" applyBorder="1" applyAlignment="1">
      <alignment horizontal="center" wrapText="1"/>
    </xf>
    <xf numFmtId="0" fontId="24" fillId="0" borderId="24" xfId="0" applyFont="1" applyBorder="1" applyAlignment="1">
      <alignment horizontal="center" vertical="center" wrapText="1"/>
    </xf>
    <xf numFmtId="0" fontId="0" fillId="0" borderId="4" xfId="0" applyBorder="1" applyAlignment="1">
      <alignment horizontal="center" vertical="center" wrapText="1"/>
    </xf>
    <xf numFmtId="0" fontId="31"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48" xfId="0" applyFont="1" applyBorder="1" applyAlignment="1">
      <alignment horizontal="center" vertical="center" wrapText="1"/>
    </xf>
    <xf numFmtId="0" fontId="23" fillId="0" borderId="24" xfId="0" applyFont="1" applyBorder="1" applyAlignment="1">
      <alignment horizontal="center" vertical="center" wrapText="1"/>
    </xf>
    <xf numFmtId="0" fontId="71" fillId="0" borderId="4" xfId="0" applyFont="1" applyBorder="1" applyAlignment="1">
      <alignment horizontal="center" vertical="center" wrapText="1"/>
    </xf>
    <xf numFmtId="0" fontId="23" fillId="0" borderId="24" xfId="0" applyFont="1" applyBorder="1" applyAlignment="1">
      <alignment horizontal="justify" vertical="center"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66" fillId="0" borderId="0" xfId="0" applyFont="1" applyAlignment="1">
      <alignment horizontal="center" vertical="center"/>
    </xf>
    <xf numFmtId="0" fontId="50" fillId="0" borderId="0" xfId="0" applyFont="1" applyAlignment="1">
      <alignment horizontal="center" vertical="center"/>
    </xf>
    <xf numFmtId="0" fontId="42" fillId="0" borderId="0" xfId="0" applyFont="1" applyAlignment="1">
      <alignment horizontal="center" vertical="center" wrapText="1"/>
    </xf>
    <xf numFmtId="0" fontId="50" fillId="0" borderId="0" xfId="0" applyFont="1" applyAlignment="1">
      <alignment horizontal="center" vertical="center" wrapText="1"/>
    </xf>
    <xf numFmtId="0" fontId="31" fillId="0" borderId="12" xfId="0" applyFont="1" applyBorder="1" applyAlignment="1">
      <alignment horizontal="right" vertical="center"/>
    </xf>
    <xf numFmtId="0" fontId="67" fillId="0" borderId="12" xfId="0" applyFont="1" applyBorder="1" applyAlignment="1">
      <alignment horizontal="right" vertical="center"/>
    </xf>
    <xf numFmtId="0" fontId="37" fillId="0" borderId="0" xfId="0" applyFont="1" applyAlignment="1">
      <alignment horizontal="center" vertical="center" wrapText="1"/>
    </xf>
    <xf numFmtId="0" fontId="0" fillId="0" borderId="5" xfId="0" applyBorder="1" applyAlignment="1">
      <alignment horizontal="center" vertical="center" wrapText="1"/>
    </xf>
    <xf numFmtId="0" fontId="31" fillId="0" borderId="2" xfId="0" applyFont="1" applyBorder="1" applyAlignment="1">
      <alignment horizontal="distributed" wrapText="1"/>
    </xf>
    <xf numFmtId="0" fontId="31" fillId="0" borderId="26" xfId="0" applyFont="1" applyBorder="1" applyAlignment="1">
      <alignment horizontal="distributed" wrapText="1"/>
    </xf>
    <xf numFmtId="0" fontId="31" fillId="0" borderId="5" xfId="0" applyFont="1" applyBorder="1" applyAlignment="1">
      <alignment horizontal="center" vertical="center" wrapText="1"/>
    </xf>
    <xf numFmtId="0" fontId="42" fillId="0" borderId="0" xfId="0" applyFont="1" applyAlignment="1">
      <alignment horizontal="right" vertical="center"/>
    </xf>
    <xf numFmtId="0" fontId="0" fillId="0" borderId="0" xfId="0" applyAlignment="1">
      <alignment horizontal="right" vertical="center"/>
    </xf>
    <xf numFmtId="0" fontId="42"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xf>
    <xf numFmtId="0" fontId="73" fillId="0" borderId="0" xfId="0" applyFont="1" applyAlignment="1">
      <alignment horizontal="right" vertical="center"/>
    </xf>
    <xf numFmtId="0" fontId="76" fillId="0" borderId="0" xfId="0" applyFont="1" applyAlignment="1">
      <alignment horizontal="right" vertical="center"/>
    </xf>
    <xf numFmtId="0" fontId="73" fillId="0" borderId="0" xfId="0" applyFont="1" applyAlignment="1">
      <alignment horizontal="left" vertical="center"/>
    </xf>
    <xf numFmtId="0" fontId="76" fillId="0" borderId="0" xfId="0" applyFont="1" applyAlignment="1">
      <alignment horizontal="left" vertical="center"/>
    </xf>
    <xf numFmtId="0" fontId="45" fillId="0" borderId="0" xfId="0" applyFont="1" applyAlignment="1">
      <alignment horizontal="left" vertical="center"/>
    </xf>
    <xf numFmtId="0" fontId="67" fillId="0" borderId="0" xfId="0" applyFont="1" applyAlignment="1">
      <alignment horizontal="left" vertical="center"/>
    </xf>
    <xf numFmtId="0" fontId="5" fillId="0" borderId="0" xfId="0" applyFont="1" applyBorder="1" applyAlignment="1">
      <alignment horizontal="right" vertical="center"/>
    </xf>
    <xf numFmtId="0" fontId="31" fillId="0" borderId="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8" xfId="0" applyFont="1" applyBorder="1" applyAlignment="1">
      <alignment horizontal="center" vertical="center" wrapText="1"/>
    </xf>
    <xf numFmtId="0" fontId="45" fillId="0" borderId="0" xfId="0" applyFont="1" applyAlignment="1">
      <alignment horizontal="right" vertical="center"/>
    </xf>
    <xf numFmtId="0" fontId="67" fillId="0" borderId="0" xfId="0" applyFont="1" applyAlignment="1">
      <alignment horizontal="right" vertical="center"/>
    </xf>
    <xf numFmtId="0" fontId="3" fillId="0" borderId="0" xfId="0" applyFont="1" applyAlignment="1">
      <alignment vertical="top" wrapText="1"/>
    </xf>
    <xf numFmtId="0" fontId="13" fillId="0" borderId="0" xfId="0" applyFont="1" applyAlignment="1">
      <alignment vertical="top"/>
    </xf>
    <xf numFmtId="0" fontId="0" fillId="0" borderId="48" xfId="0" applyBorder="1" applyAlignment="1">
      <alignment horizontal="center" vertical="center" wrapText="1"/>
    </xf>
    <xf numFmtId="0" fontId="31" fillId="0" borderId="59" xfId="0" applyFont="1" applyBorder="1" applyAlignment="1">
      <alignment horizontal="center" wrapText="1"/>
    </xf>
    <xf numFmtId="0" fontId="5" fillId="0" borderId="5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7" xfId="0" applyFont="1" applyFill="1" applyBorder="1" applyAlignment="1">
      <alignment horizontal="center" vertical="center"/>
    </xf>
    <xf numFmtId="0" fontId="13" fillId="0" borderId="64" xfId="0" applyFont="1" applyFill="1" applyBorder="1" applyAlignment="1">
      <alignment horizontal="center" vertical="center"/>
    </xf>
    <xf numFmtId="0" fontId="5" fillId="0" borderId="12" xfId="0" applyFont="1" applyFill="1" applyBorder="1" applyAlignment="1">
      <alignment horizontal="right"/>
    </xf>
    <xf numFmtId="0" fontId="5" fillId="0" borderId="12" xfId="0" applyFont="1" applyFill="1" applyBorder="1" applyAlignment="1"/>
    <xf numFmtId="49" fontId="5" fillId="0" borderId="9" xfId="0" applyNumberFormat="1" applyFont="1" applyFill="1" applyBorder="1" applyAlignment="1">
      <alignment horizontal="center" vertical="center"/>
    </xf>
    <xf numFmtId="49" fontId="5" fillId="0" borderId="34" xfId="0" applyNumberFormat="1" applyFont="1" applyFill="1" applyBorder="1" applyAlignment="1">
      <alignment horizontal="center" vertical="center"/>
    </xf>
    <xf numFmtId="0" fontId="9" fillId="0" borderId="31" xfId="0" applyFont="1" applyFill="1" applyBorder="1" applyAlignment="1">
      <alignment horizontal="center" vertical="center" wrapText="1"/>
    </xf>
    <xf numFmtId="0" fontId="9" fillId="0" borderId="3"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9" fillId="0" borderId="39" xfId="0" applyNumberFormat="1" applyFont="1" applyFill="1" applyBorder="1" applyAlignment="1">
      <alignment horizontal="center" vertical="center"/>
    </xf>
    <xf numFmtId="0" fontId="5" fillId="0" borderId="58" xfId="0" applyFont="1" applyBorder="1" applyAlignment="1">
      <alignment horizontal="center" vertical="center"/>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5" fillId="0" borderId="12" xfId="0" applyFont="1" applyBorder="1" applyAlignment="1">
      <alignment horizontal="right"/>
    </xf>
    <xf numFmtId="0" fontId="5" fillId="0" borderId="12" xfId="0" applyFont="1" applyBorder="1" applyAlignment="1"/>
    <xf numFmtId="0" fontId="7" fillId="0" borderId="0" xfId="0" applyFont="1" applyAlignment="1">
      <alignment horizontal="center" vertical="center"/>
    </xf>
    <xf numFmtId="0" fontId="17" fillId="0" borderId="0" xfId="0" applyFont="1" applyAlignment="1"/>
    <xf numFmtId="0" fontId="16" fillId="0" borderId="0" xfId="0" applyFont="1" applyAlignment="1"/>
    <xf numFmtId="0" fontId="19" fillId="0" borderId="0" xfId="0" applyFont="1" applyAlignment="1"/>
    <xf numFmtId="41" fontId="31" fillId="0" borderId="12" xfId="0" applyNumberFormat="1" applyFont="1" applyBorder="1" applyAlignment="1">
      <alignment horizontal="right"/>
    </xf>
    <xf numFmtId="0" fontId="37" fillId="0" borderId="0" xfId="0" applyFont="1" applyAlignment="1">
      <alignment horizontal="right"/>
    </xf>
    <xf numFmtId="0" fontId="73"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5" fillId="0" borderId="0" xfId="0" applyFont="1" applyAlignment="1">
      <alignment horizontal="right"/>
    </xf>
    <xf numFmtId="0" fontId="73" fillId="0" borderId="0" xfId="0" applyFont="1" applyAlignment="1">
      <alignment horizontal="right"/>
    </xf>
    <xf numFmtId="0" fontId="42" fillId="0" borderId="0" xfId="0" applyFont="1" applyAlignment="1">
      <alignment horizontal="right"/>
    </xf>
    <xf numFmtId="41" fontId="31" fillId="0" borderId="12" xfId="0" applyNumberFormat="1" applyFont="1" applyFill="1" applyBorder="1" applyAlignment="1">
      <alignment horizontal="right"/>
    </xf>
    <xf numFmtId="0" fontId="5" fillId="0" borderId="14" xfId="0" applyFont="1" applyBorder="1" applyAlignment="1">
      <alignment vertical="top" wrapText="1"/>
    </xf>
    <xf numFmtId="0" fontId="13" fillId="0" borderId="14" xfId="0" applyFont="1" applyBorder="1" applyAlignment="1">
      <alignment vertical="top" wrapText="1"/>
    </xf>
    <xf numFmtId="0" fontId="7" fillId="0" borderId="0" xfId="0" applyFont="1" applyAlignment="1">
      <alignment horizontal="right"/>
    </xf>
    <xf numFmtId="0" fontId="17" fillId="0" borderId="0" xfId="0" applyFont="1" applyAlignment="1">
      <alignment horizontal="left"/>
    </xf>
    <xf numFmtId="0" fontId="16" fillId="0" borderId="0" xfId="0" applyFont="1" applyAlignment="1">
      <alignment horizontal="right"/>
    </xf>
    <xf numFmtId="0" fontId="16" fillId="0" borderId="0" xfId="0" applyFont="1" applyAlignment="1">
      <alignment horizontal="left"/>
    </xf>
    <xf numFmtId="0" fontId="19" fillId="0" borderId="0" xfId="0" applyFont="1" applyAlignment="1">
      <alignment horizontal="right"/>
    </xf>
    <xf numFmtId="0" fontId="19" fillId="0" borderId="0" xfId="0" applyFont="1" applyAlignment="1">
      <alignment horizontal="left"/>
    </xf>
    <xf numFmtId="0" fontId="17" fillId="0" borderId="0" xfId="0" applyFont="1" applyAlignment="1">
      <alignment horizontal="right"/>
    </xf>
    <xf numFmtId="0" fontId="7" fillId="0" borderId="0" xfId="0" applyFont="1" applyAlignment="1">
      <alignment horizontal="left"/>
    </xf>
    <xf numFmtId="0" fontId="5" fillId="0" borderId="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4" xfId="0" applyFont="1" applyBorder="1" applyAlignment="1">
      <alignment horizontal="center" vertical="center" wrapText="1"/>
    </xf>
    <xf numFmtId="0" fontId="74" fillId="0" borderId="0" xfId="0" applyFont="1" applyAlignment="1">
      <alignment horizontal="center" vertical="center"/>
    </xf>
    <xf numFmtId="0" fontId="43" fillId="0" borderId="0" xfId="0" applyFont="1" applyAlignment="1">
      <alignment horizontal="center" vertical="center"/>
    </xf>
    <xf numFmtId="0" fontId="31" fillId="0" borderId="31" xfId="0" applyFont="1" applyBorder="1" applyAlignment="1">
      <alignment horizontal="center" vertical="center" wrapText="1"/>
    </xf>
    <xf numFmtId="0" fontId="32" fillId="0" borderId="3" xfId="0" applyFont="1" applyBorder="1" applyAlignment="1">
      <alignment horizontal="center" vertical="center"/>
    </xf>
    <xf numFmtId="0" fontId="31" fillId="0" borderId="9" xfId="0" applyFont="1" applyBorder="1" applyAlignment="1">
      <alignment horizontal="center" vertical="center" wrapText="1"/>
    </xf>
    <xf numFmtId="0" fontId="32" fillId="0" borderId="34" xfId="0" applyFont="1" applyBorder="1" applyAlignment="1">
      <alignment horizontal="center" vertical="center"/>
    </xf>
    <xf numFmtId="0" fontId="31" fillId="0" borderId="31"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3" fillId="0" borderId="12" xfId="0" applyFont="1" applyBorder="1" applyAlignment="1">
      <alignment horizontal="right" vertical="center"/>
    </xf>
    <xf numFmtId="0" fontId="74" fillId="0" borderId="0" xfId="0" applyFont="1" applyFill="1" applyAlignment="1">
      <alignment horizontal="center" vertical="center"/>
    </xf>
    <xf numFmtId="0" fontId="43" fillId="0" borderId="0" xfId="0" applyFont="1" applyFill="1" applyAlignment="1">
      <alignment horizontal="center" vertical="center"/>
    </xf>
    <xf numFmtId="0" fontId="31" fillId="0" borderId="31" xfId="0" applyFont="1" applyFill="1" applyBorder="1" applyAlignment="1">
      <alignment horizontal="center" vertical="center" wrapText="1"/>
    </xf>
    <xf numFmtId="0" fontId="32" fillId="0" borderId="3" xfId="0" applyFont="1" applyFill="1" applyBorder="1" applyAlignment="1">
      <alignment horizontal="center" vertical="center"/>
    </xf>
    <xf numFmtId="0" fontId="31" fillId="0" borderId="9" xfId="0" applyFont="1" applyFill="1" applyBorder="1" applyAlignment="1">
      <alignment horizontal="center" vertical="center" wrapText="1"/>
    </xf>
    <xf numFmtId="0" fontId="32" fillId="0" borderId="34" xfId="0" applyFont="1" applyFill="1" applyBorder="1" applyAlignment="1">
      <alignment horizontal="center" vertical="center"/>
    </xf>
    <xf numFmtId="0" fontId="23" fillId="0" borderId="12" xfId="0" applyFont="1" applyFill="1" applyBorder="1" applyAlignment="1">
      <alignment horizontal="right" vertical="center"/>
    </xf>
    <xf numFmtId="0" fontId="5" fillId="0" borderId="31"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1" xfId="0" applyFont="1" applyBorder="1" applyAlignment="1">
      <alignment horizontal="center" wrapText="1"/>
    </xf>
    <xf numFmtId="0" fontId="5" fillId="0" borderId="54" xfId="0" applyFont="1" applyBorder="1" applyAlignment="1">
      <alignment horizontal="center" wrapText="1"/>
    </xf>
    <xf numFmtId="0" fontId="5" fillId="0" borderId="40" xfId="0" applyFont="1" applyBorder="1" applyAlignment="1">
      <alignment horizontal="center" wrapText="1"/>
    </xf>
    <xf numFmtId="0" fontId="5" fillId="0" borderId="46" xfId="0" applyFont="1" applyBorder="1" applyAlignment="1">
      <alignment horizontal="distributed" vertical="center" wrapText="1"/>
    </xf>
    <xf numFmtId="0" fontId="5" fillId="0" borderId="48" xfId="0" applyFont="1" applyBorder="1" applyAlignment="1">
      <alignment horizontal="distributed" vertical="center" wrapText="1"/>
    </xf>
    <xf numFmtId="0" fontId="5" fillId="0" borderId="0" xfId="0" applyFont="1" applyBorder="1" applyAlignment="1">
      <alignment horizontal="right" vertical="top"/>
    </xf>
    <xf numFmtId="0" fontId="16" fillId="0" borderId="0" xfId="0" applyFont="1" applyAlignment="1">
      <alignment horizontal="center" vertical="top"/>
    </xf>
    <xf numFmtId="0" fontId="53" fillId="0" borderId="0" xfId="0" applyFont="1" applyAlignment="1">
      <alignment horizontal="left" indent="6"/>
    </xf>
    <xf numFmtId="0" fontId="0" fillId="0" borderId="0" xfId="0" applyAlignment="1">
      <alignment horizontal="left" indent="6"/>
    </xf>
    <xf numFmtId="177" fontId="12" fillId="0" borderId="9" xfId="4" applyNumberFormat="1" applyFont="1" applyFill="1" applyBorder="1" applyAlignment="1">
      <alignment horizontal="center" vertical="center"/>
    </xf>
    <xf numFmtId="177" fontId="12" fillId="0" borderId="34" xfId="4" applyNumberFormat="1" applyFont="1" applyFill="1" applyBorder="1" applyAlignment="1">
      <alignment horizontal="center" vertical="center"/>
    </xf>
    <xf numFmtId="177" fontId="19" fillId="0" borderId="0" xfId="4" applyNumberFormat="1" applyFont="1" applyFill="1" applyAlignment="1">
      <alignment horizontal="center" vertical="center"/>
    </xf>
    <xf numFmtId="177" fontId="20" fillId="0" borderId="0" xfId="4" applyNumberFormat="1" applyFont="1" applyFill="1" applyAlignment="1">
      <alignment horizontal="center" vertical="center"/>
    </xf>
    <xf numFmtId="49" fontId="10" fillId="0" borderId="31" xfId="4" applyNumberFormat="1" applyFont="1" applyFill="1" applyBorder="1" applyAlignment="1">
      <alignment horizontal="center" vertical="center"/>
    </xf>
    <xf numFmtId="49" fontId="10" fillId="0" borderId="3" xfId="4" applyNumberFormat="1" applyFont="1" applyFill="1" applyBorder="1" applyAlignment="1">
      <alignment horizontal="center" vertical="center"/>
    </xf>
    <xf numFmtId="177" fontId="10" fillId="0" borderId="31" xfId="4" applyNumberFormat="1" applyFont="1" applyFill="1" applyBorder="1" applyAlignment="1">
      <alignment horizontal="center" vertical="center"/>
    </xf>
    <xf numFmtId="177" fontId="10" fillId="0" borderId="10" xfId="4" applyNumberFormat="1" applyFont="1" applyFill="1" applyBorder="1" applyAlignment="1">
      <alignment horizontal="center" vertical="center"/>
    </xf>
    <xf numFmtId="177" fontId="10" fillId="0" borderId="39" xfId="4" applyNumberFormat="1" applyFont="1" applyFill="1" applyBorder="1" applyAlignment="1">
      <alignment horizontal="center" vertical="center"/>
    </xf>
  </cellXfs>
  <cellStyles count="9">
    <cellStyle name="Header1" xfId="1"/>
    <cellStyle name="Header2" xfId="2"/>
    <cellStyle name="section" xfId="3"/>
    <cellStyle name="一般" xfId="0" builtinId="0"/>
    <cellStyle name="一般_各單位額度表" xfId="8"/>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colors>
    <mruColors>
      <color rgb="FFFFFFCC"/>
      <color rgb="FF0000FF"/>
      <color rgb="FFFFCC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4.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charts/_rels/chart6.xml.rels><?xml version="1.0" encoding="UTF-8" standalone="yes"?>
<Relationships xmlns="http://schemas.openxmlformats.org/package/2006/relationships"><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2444"/>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2236"/>
          <c:y val="0.21600042187583296"/>
          <c:w val="0.59520046500033563"/>
          <c:h val="0.70800138281520086"/>
        </c:manualLayout>
      </c:layout>
      <c:pie3DChart>
        <c:varyColors val="1"/>
        <c:ser>
          <c:idx val="0"/>
          <c:order val="0"/>
          <c:tx>
            <c:strRef>
              <c:f>'13.圖4'!$B$37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'13.圖4'!$C$37</c:f>
              <c:numCache>
                <c:formatCode>_-* #,##0_-;\-* #,##0_-;_-* "-"??_-;_-@_-</c:formatCode>
                <c:ptCount val="1"/>
                <c:pt idx="0">
                  <c:v>263165</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845"/>
          <c:y val="0.18811941818604738"/>
          <c:w val="0.59936954678377208"/>
          <c:h val="0.59736166125739243"/>
        </c:manualLayout>
      </c:layout>
      <c:pie3DChart>
        <c:varyColors val="1"/>
        <c:ser>
          <c:idx val="0"/>
          <c:order val="0"/>
          <c:tx>
            <c:strRef>
              <c:f>'13.圖4'!$D$37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541"/>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'13.圖4'!$E$37</c:f>
              <c:numCache>
                <c:formatCode>_-* #,##0_-;\-* #,##0_-;_-* "-"??_-;_-@_-</c:formatCode>
                <c:ptCount val="1"/>
                <c:pt idx="0">
                  <c:v>263165</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6008"/>
          <c:h val="0.78560370452444084"/>
        </c:manualLayout>
      </c:layout>
      <c:barChart>
        <c:barDir val="col"/>
        <c:grouping val="stacked"/>
        <c:ser>
          <c:idx val="2"/>
          <c:order val="0"/>
          <c:tx>
            <c:strRef>
              <c:f>'14.圖5'!$A$41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'14.圖5'!$B$39:$F$39</c:f>
              <c:strCache>
                <c:ptCount val="5"/>
                <c:pt idx="0">
                  <c:v>105年度決算</c:v>
                </c:pt>
                <c:pt idx="1">
                  <c:v>106年度決算</c:v>
                </c:pt>
                <c:pt idx="2">
                  <c:v>107年度決算</c:v>
                </c:pt>
                <c:pt idx="3">
                  <c:v>108年度預算</c:v>
                </c:pt>
                <c:pt idx="4">
                  <c:v>109年度預算</c:v>
                </c:pt>
              </c:strCache>
            </c:strRef>
          </c:cat>
          <c:val>
            <c:numRef>
              <c:f>'14.圖5'!$B$44:$F$44</c:f>
              <c:numCache>
                <c:formatCode>General</c:formatCode>
                <c:ptCount val="5"/>
                <c:pt idx="0">
                  <c:v>151.00800000000001</c:v>
                </c:pt>
                <c:pt idx="1">
                  <c:v>216.92400000000001</c:v>
                </c:pt>
                <c:pt idx="2">
                  <c:v>228.196</c:v>
                </c:pt>
                <c:pt idx="3">
                  <c:v>250.41399999999999</c:v>
                </c:pt>
                <c:pt idx="4">
                  <c:v>263.16500000000002</c:v>
                </c:pt>
              </c:numCache>
            </c:numRef>
          </c:val>
        </c:ser>
        <c:gapWidth val="250"/>
        <c:overlap val="100"/>
        <c:axId val="87598592"/>
        <c:axId val="87600128"/>
      </c:barChart>
      <c:catAx>
        <c:axId val="87598592"/>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87600128"/>
        <c:crosses val="autoZero"/>
        <c:auto val="1"/>
        <c:lblAlgn val="ctr"/>
        <c:lblOffset val="100"/>
        <c:tickLblSkip val="1"/>
        <c:tickMarkSkip val="1"/>
      </c:catAx>
      <c:valAx>
        <c:axId val="87600128"/>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87598592"/>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8141"/>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3054" r="0.74803149606303054"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7.3737282839645271E-2"/>
                  <c:y val="1.6464019736048925E-3"/>
                </c:manualLayout>
              </c:layout>
              <c:showCatName val="1"/>
              <c:showPercent val="1"/>
            </c:dLbl>
            <c:dLbl>
              <c:idx val="1"/>
              <c:layout>
                <c:manualLayout>
                  <c:x val="-4.5783443736199705E-2"/>
                  <c:y val="-1.9042690335086238E-2"/>
                </c:manualLayout>
              </c:layout>
              <c:showCatName val="1"/>
              <c:showPercent val="1"/>
            </c:dLbl>
            <c:numFmt formatCode="0.00%" sourceLinked="0"/>
            <c:txPr>
              <a:bodyPr/>
              <a:lstStyle/>
              <a:p>
                <a:pPr>
                  <a:defRPr sz="1075"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'10.圖1'!$B$39:$B$40</c:f>
              <c:strCache>
                <c:ptCount val="2"/>
                <c:pt idx="0">
                  <c:v>機械及設備</c:v>
                </c:pt>
                <c:pt idx="1">
                  <c:v>什項設備</c:v>
                </c:pt>
              </c:strCache>
            </c:strRef>
          </c:cat>
          <c:val>
            <c:numRef>
              <c:f>'10.圖1'!$C$39:$C$40</c:f>
              <c:numCache>
                <c:formatCode>_-* #,##0_-;\-* #,##0_-;_-* "-"??_-;_-@_-</c:formatCode>
                <c:ptCount val="2"/>
                <c:pt idx="0">
                  <c:v>13010</c:v>
                </c:pt>
                <c:pt idx="1">
                  <c:v>4485</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4999"/>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7927"/>
        </c:manualLayout>
      </c:layout>
      <c:pie3DChart>
        <c:varyColors val="1"/>
        <c:ser>
          <c:idx val="0"/>
          <c:order val="0"/>
          <c:tx>
            <c:strRef>
              <c:f>'10.圖1'!$D$38</c:f>
              <c:strCache>
                <c:ptCount val="1"/>
                <c:pt idx="0">
                  <c:v>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1449"/>
                  <c:y val="-0.29945808877862284"/>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'10.圖1'!$E$38</c:f>
              <c:numCache>
                <c:formatCode>_-* #,##0_-;\-* #,##0_-;_-* "-"??_-;_-@_-</c:formatCode>
                <c:ptCount val="1"/>
                <c:pt idx="0">
                  <c:v>17495</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1465" r="0.75000000000001465"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perspective val="0"/>
    </c:view3D>
    <c:plotArea>
      <c:layout>
        <c:manualLayout>
          <c:layoutTarget val="inner"/>
          <c:xMode val="edge"/>
          <c:yMode val="edge"/>
          <c:x val="0.15291021955589901"/>
          <c:y val="0.10836315071923808"/>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gradFill>
                <a:gsLst>
                  <a:gs pos="0">
                    <a:srgbClr val="4F81BD">
                      <a:tint val="66000"/>
                      <a:satMod val="160000"/>
                    </a:srgbClr>
                  </a:gs>
                  <a:gs pos="50000">
                    <a:srgbClr val="4F81BD">
                      <a:tint val="44500"/>
                      <a:satMod val="160000"/>
                    </a:srgbClr>
                  </a:gs>
                  <a:gs pos="100000">
                    <a:srgbClr val="4F81BD">
                      <a:tint val="23500"/>
                      <a:satMod val="160000"/>
                    </a:srgbClr>
                  </a:gs>
                </a:gsLst>
                <a:path path="circle">
                  <a:fillToRect l="100000" t="100000"/>
                </a:path>
              </a:grad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0.21424401634559351"/>
                  <c:y val="-1.0379906891200639E-3"/>
                </c:manualLayout>
              </c:layout>
              <c:tx>
                <c:rich>
                  <a:bodyPr/>
                  <a:lstStyle/>
                  <a:p>
                    <a:r>
                      <a:rPr lang="zh-TW" altLang="en-US"/>
                      <a:t>勞務收入
</a:t>
                    </a:r>
                    <a:r>
                      <a:rPr lang="en-US" altLang="zh-TW"/>
                      <a:t>99.03%</a:t>
                    </a:r>
                    <a:endParaRPr lang="zh-TW" altLang="en-US"/>
                  </a:p>
                </c:rich>
              </c:tx>
              <c:showCatName val="1"/>
              <c:showPercent val="1"/>
            </c:dLbl>
            <c:dLbl>
              <c:idx val="1"/>
              <c:layout>
                <c:manualLayout>
                  <c:x val="-0.12917816971652618"/>
                  <c:y val="5.3382378297603334E-3"/>
                </c:manualLayout>
              </c:layout>
              <c:tx>
                <c:rich>
                  <a:bodyPr/>
                  <a:lstStyle/>
                  <a:p>
                    <a:r>
                      <a:rPr lang="zh-TW" altLang="en-US"/>
                      <a:t>其他業務收入
</a:t>
                    </a:r>
                    <a:r>
                      <a:rPr lang="en-US" altLang="zh-TW"/>
                      <a:t>0.23%</a:t>
                    </a:r>
                    <a:endParaRPr lang="zh-TW" altLang="en-US"/>
                  </a:p>
                </c:rich>
              </c:tx>
              <c:showCatName val="1"/>
              <c:showPercent val="1"/>
            </c:dLbl>
            <c:dLbl>
              <c:idx val="2"/>
              <c:layout>
                <c:manualLayout>
                  <c:x val="0.11943682171077127"/>
                  <c:y val="5.3501159070444664E-3"/>
                </c:manualLayout>
              </c:layout>
              <c:tx>
                <c:rich>
                  <a:bodyPr/>
                  <a:lstStyle/>
                  <a:p>
                    <a:r>
                      <a:rPr lang="zh-TW" altLang="en-US"/>
                      <a:t>業務外收入
</a:t>
                    </a:r>
                    <a:r>
                      <a:rPr lang="en-US" altLang="zh-TW"/>
                      <a:t>0.74%</a:t>
                    </a:r>
                  </a:p>
                </c:rich>
              </c:tx>
              <c:showCatName val="1"/>
              <c:showPercent val="1"/>
            </c:dLbl>
            <c:dLbl>
              <c:idx val="3"/>
              <c:layout>
                <c:manualLayout>
                  <c:x val="4.0863981319325142E-3"/>
                  <c:y val="-0.34735512377500088"/>
                </c:manualLayout>
              </c:layout>
              <c:tx>
                <c:rich>
                  <a:bodyPr/>
                  <a:lstStyle/>
                  <a:p>
                    <a:r>
                      <a:rPr lang="zh-TW" altLang="en-US"/>
                      <a:t>其他業務外收入
</a:t>
                    </a:r>
                    <a:r>
                      <a:rPr lang="en-US" altLang="zh-TW"/>
                      <a:t>0.32%</a:t>
                    </a:r>
                    <a:endParaRPr lang="zh-TW" altLang="en-US"/>
                  </a:p>
                </c:rich>
              </c:tx>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'11.圖2'!$B$47:$B$49</c:f>
              <c:strCache>
                <c:ptCount val="3"/>
                <c:pt idx="0">
                  <c:v>   勞務收入</c:v>
                </c:pt>
                <c:pt idx="1">
                  <c:v>     其他業務收入</c:v>
                </c:pt>
                <c:pt idx="2">
                  <c:v>   業務外收入  </c:v>
                </c:pt>
              </c:strCache>
            </c:strRef>
          </c:cat>
          <c:val>
            <c:numRef>
              <c:f>'11.圖2'!$C$47:$C$49</c:f>
              <c:numCache>
                <c:formatCode>0.00%</c:formatCode>
                <c:ptCount val="3"/>
                <c:pt idx="0">
                  <c:v>0.99026988106551284</c:v>
                </c:pt>
                <c:pt idx="1">
                  <c:v>2.3514454091677181E-3</c:v>
                </c:pt>
                <c:pt idx="2">
                  <c:v>7.3786735253193909E-3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perspective val="0"/>
    </c:view3D>
    <c:plotArea>
      <c:layout>
        <c:manualLayout>
          <c:layoutTarget val="inner"/>
          <c:xMode val="edge"/>
          <c:yMode val="edge"/>
          <c:x val="0.17195783860350788"/>
          <c:y val="0.10836315071923808"/>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dpi="0" rotWithShape="1">
                <a:blip xmlns:r="http://schemas.openxmlformats.org/officeDocument/2006/relationships" r:embed="rId2">
                  <a:alphaModFix amt="40000"/>
                </a:blip>
                <a:srcRect/>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0.16485363254042468"/>
                  <c:y val="-5.8656039670095163E-3"/>
                </c:manualLayout>
              </c:layout>
              <c:showCatName val="1"/>
              <c:showPercent val="1"/>
            </c:dLbl>
            <c:dLbl>
              <c:idx val="1"/>
              <c:delete val="1"/>
            </c:dLbl>
            <c:dLbl>
              <c:idx val="2"/>
              <c:layout>
                <c:manualLayout>
                  <c:x val="-0.10666650159296126"/>
                  <c:y val="0"/>
                </c:manualLayout>
              </c:layout>
              <c:showCatName val="1"/>
              <c:showPercent val="1"/>
            </c:dLbl>
            <c:dLbl>
              <c:idx val="3"/>
              <c:layout>
                <c:manualLayout>
                  <c:x val="0.15638986889493056"/>
                  <c:y val="-8.7778387874053523E-4"/>
                </c:manualLayout>
              </c:layout>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dLbls>
          <c:cat>
            <c:strRef>
              <c:f>'11.圖2'!$D$47:$D$50</c:f>
              <c:strCache>
                <c:ptCount val="4"/>
                <c:pt idx="0">
                  <c:v>   勞務成本</c:v>
                </c:pt>
                <c:pt idx="2">
                  <c:v>   業務外費用</c:v>
                </c:pt>
                <c:pt idx="3">
                  <c:v>本期賸餘</c:v>
                </c:pt>
              </c:strCache>
            </c:strRef>
          </c:cat>
          <c:val>
            <c:numRef>
              <c:f>'11.圖2'!$E$47:$E$50</c:f>
              <c:numCache>
                <c:formatCode>0.00%</c:formatCode>
                <c:ptCount val="4"/>
                <c:pt idx="0">
                  <c:v>0.97530495814427176</c:v>
                </c:pt>
                <c:pt idx="2">
                  <c:v>8.1084324454059239E-5</c:v>
                </c:pt>
                <c:pt idx="3">
                  <c:v>2.4613957531274225E-2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181"/>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'12.圖3'!$B$35:$F$35</c:f>
              <c:strCache>
                <c:ptCount val="5"/>
                <c:pt idx="0">
                  <c:v>105年度決算</c:v>
                </c:pt>
                <c:pt idx="1">
                  <c:v>106年度決算</c:v>
                </c:pt>
                <c:pt idx="2">
                  <c:v>107年度決算</c:v>
                </c:pt>
                <c:pt idx="3">
                  <c:v>108年度預算</c:v>
                </c:pt>
                <c:pt idx="4">
                  <c:v>109年度預算</c:v>
                </c:pt>
              </c:strCache>
            </c:strRef>
          </c:cat>
          <c:val>
            <c:numRef>
              <c:f>'12.圖3'!$B$46:$F$46</c:f>
              <c:numCache>
                <c:formatCode>_-* #,##0_-;\-* #,##0_-;_-* "-"??_-;_-@_-</c:formatCode>
                <c:ptCount val="5"/>
                <c:pt idx="0">
                  <c:v>611.34299999999996</c:v>
                </c:pt>
                <c:pt idx="1">
                  <c:v>639.08199999999999</c:v>
                </c:pt>
                <c:pt idx="2">
                  <c:v>584.53599999999994</c:v>
                </c:pt>
                <c:pt idx="3">
                  <c:v>624.63199999999995</c:v>
                </c:pt>
                <c:pt idx="4">
                  <c:v>616.64200000000005</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'12.圖3'!$B$35:$F$35</c:f>
              <c:strCache>
                <c:ptCount val="5"/>
                <c:pt idx="0">
                  <c:v>105年度決算</c:v>
                </c:pt>
                <c:pt idx="1">
                  <c:v>106年度決算</c:v>
                </c:pt>
                <c:pt idx="2">
                  <c:v>107年度決算</c:v>
                </c:pt>
                <c:pt idx="3">
                  <c:v>108年度預算</c:v>
                </c:pt>
                <c:pt idx="4">
                  <c:v>109年度預算</c:v>
                </c:pt>
              </c:strCache>
            </c:strRef>
          </c:cat>
          <c:val>
            <c:numRef>
              <c:f>'12.圖3'!$B$47:$F$47</c:f>
              <c:numCache>
                <c:formatCode>_-* #,##0_-;\-* #,##0_-;_-* "-"??_-;_-@_-</c:formatCode>
                <c:ptCount val="5"/>
                <c:pt idx="0">
                  <c:v>561.36599999999999</c:v>
                </c:pt>
                <c:pt idx="1">
                  <c:v>573.16600000000005</c:v>
                </c:pt>
                <c:pt idx="2">
                  <c:v>573.26499999999999</c:v>
                </c:pt>
                <c:pt idx="3">
                  <c:v>604.84100000000001</c:v>
                </c:pt>
                <c:pt idx="4">
                  <c:v>601.46400000000006</c:v>
                </c:pt>
              </c:numCache>
            </c:numRef>
          </c:val>
        </c:ser>
        <c:gapWidth val="230"/>
        <c:axId val="87348736"/>
        <c:axId val="87350272"/>
      </c:barChart>
      <c:catAx>
        <c:axId val="8734873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87350272"/>
        <c:crosses val="autoZero"/>
        <c:auto val="1"/>
        <c:lblAlgn val="ctr"/>
        <c:lblOffset val="100"/>
        <c:tickLblSkip val="1"/>
        <c:tickMarkSkip val="1"/>
      </c:catAx>
      <c:valAx>
        <c:axId val="87350272"/>
        <c:scaling>
          <c:orientation val="minMax"/>
          <c:min val="0"/>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87348736"/>
        <c:crosses val="autoZero"/>
        <c:crossBetween val="between"/>
      </c:valAx>
      <c:spPr>
        <a:noFill/>
        <a:ln w="3175">
          <a:solidFill>
            <a:srgbClr val="000000"/>
          </a:solidFill>
          <a:prstDash val="solid"/>
        </a:ln>
      </c:spPr>
    </c:plotArea>
    <c:legend>
      <c:legendPos val="r"/>
      <c:layout>
        <c:manualLayout>
          <c:xMode val="edge"/>
          <c:yMode val="edge"/>
          <c:x val="0.41755330253742595"/>
          <c:y val="1.3028312289366201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41</xdr:row>
      <xdr:rowOff>0</xdr:rowOff>
    </xdr:from>
    <xdr:to>
      <xdr:col>3</xdr:col>
      <xdr:colOff>1914525</xdr:colOff>
      <xdr:row>41</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5</xdr:col>
      <xdr:colOff>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29</xdr:row>
      <xdr:rowOff>144780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9&#24180;&#21508;&#21934;&#20301;&#26680;&#21015;&#29992;&#36884;&#21029;&#26126;&#3204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8&#24180;&#21508;&#21934;&#20301;&#26680;&#21015;&#29992;&#36884;&#21029;&#26126;&#3204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概算版業內"/>
      <sheetName val="主計處核定版業內"/>
      <sheetName val="立法院核定版業內"/>
      <sheetName val="概算版業外"/>
      <sheetName val="主計處核定版業外"/>
      <sheetName val="Sheet2"/>
      <sheetName val="Sheet3"/>
    </sheetNames>
    <sheetDataSet>
      <sheetData sheetId="0">
        <row r="2">
          <cell r="X2">
            <v>282000</v>
          </cell>
          <cell r="AD2">
            <v>334172000</v>
          </cell>
        </row>
      </sheetData>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概算版業內"/>
      <sheetName val="主計處核定版業內"/>
      <sheetName val="立法院核定版業內"/>
      <sheetName val="概算版業外"/>
      <sheetName val="主計處核定版業外"/>
      <sheetName val="Sheet2"/>
      <sheetName val="Sheet3"/>
    </sheetNames>
    <sheetDataSet>
      <sheetData sheetId="0">
        <row r="2">
          <cell r="H2">
            <v>3467000</v>
          </cell>
          <cell r="BC2">
            <v>6000</v>
          </cell>
        </row>
      </sheetData>
      <sheetData sheetId="1">
        <row r="2">
          <cell r="B2">
            <v>11180000</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J35"/>
  <sheetViews>
    <sheetView topLeftCell="A10" workbookViewId="0">
      <selection activeCell="D9" sqref="D9"/>
    </sheetView>
  </sheetViews>
  <sheetFormatPr defaultColWidth="8.875" defaultRowHeight="16.5"/>
  <cols>
    <col min="1" max="8" width="8.875" style="486"/>
    <col min="9" max="9" width="8" style="486" customWidth="1"/>
    <col min="10" max="10" width="7.625" style="482" customWidth="1"/>
    <col min="11" max="16384" width="8.875" style="486"/>
  </cols>
  <sheetData>
    <row r="1" spans="1:10" ht="25.5">
      <c r="A1" s="974" t="s">
        <v>144</v>
      </c>
      <c r="B1" s="974"/>
      <c r="C1" s="974"/>
      <c r="D1" s="974"/>
      <c r="E1" s="974"/>
      <c r="F1" s="974"/>
      <c r="G1" s="974"/>
      <c r="H1" s="974"/>
      <c r="I1" s="974"/>
      <c r="J1" s="974"/>
    </row>
    <row r="2" spans="1:10" ht="21">
      <c r="A2" s="975" t="s">
        <v>583</v>
      </c>
      <c r="B2" s="975"/>
      <c r="C2" s="975"/>
      <c r="D2" s="975"/>
      <c r="E2" s="975"/>
      <c r="F2" s="975"/>
      <c r="G2" s="975"/>
      <c r="H2" s="975"/>
      <c r="I2" s="975"/>
      <c r="J2" s="975"/>
    </row>
    <row r="3" spans="1:10" ht="27.75" customHeight="1" thickBot="1">
      <c r="A3" s="976" t="s">
        <v>1117</v>
      </c>
      <c r="B3" s="976"/>
      <c r="C3" s="976"/>
      <c r="D3" s="976"/>
      <c r="E3" s="976"/>
      <c r="F3" s="976"/>
      <c r="G3" s="976"/>
      <c r="H3" s="976"/>
      <c r="I3" s="976"/>
      <c r="J3" s="976"/>
    </row>
    <row r="4" spans="1:10" ht="12.75" customHeight="1">
      <c r="A4" s="777"/>
      <c r="B4" s="778"/>
      <c r="C4" s="778"/>
      <c r="D4" s="778"/>
      <c r="E4" s="778"/>
      <c r="F4" s="778"/>
      <c r="G4" s="778"/>
      <c r="H4" s="778"/>
      <c r="I4" s="778"/>
      <c r="J4" s="779"/>
    </row>
    <row r="5" spans="1:10" ht="21.95" customHeight="1">
      <c r="A5" s="780" t="s">
        <v>584</v>
      </c>
      <c r="B5" s="781"/>
      <c r="C5" s="781"/>
      <c r="D5" s="781"/>
      <c r="E5" s="781"/>
      <c r="F5" s="781"/>
      <c r="G5" s="781"/>
      <c r="H5" s="781"/>
      <c r="I5" s="781"/>
      <c r="J5" s="782" t="s">
        <v>952</v>
      </c>
    </row>
    <row r="6" spans="1:10" ht="21.95" customHeight="1">
      <c r="A6" s="783" t="s">
        <v>585</v>
      </c>
      <c r="B6" s="507"/>
      <c r="C6" s="507"/>
      <c r="D6" s="507"/>
      <c r="E6" s="507"/>
      <c r="F6" s="507"/>
      <c r="G6" s="507"/>
      <c r="H6" s="507"/>
      <c r="I6" s="507"/>
      <c r="J6" s="784"/>
    </row>
    <row r="7" spans="1:10" ht="21.95" customHeight="1">
      <c r="A7" s="783" t="s">
        <v>586</v>
      </c>
      <c r="B7" s="507"/>
      <c r="C7" s="507"/>
      <c r="D7" s="507"/>
      <c r="E7" s="507"/>
      <c r="F7" s="507"/>
      <c r="G7" s="507"/>
      <c r="H7" s="507"/>
      <c r="I7" s="507"/>
      <c r="J7" s="785"/>
    </row>
    <row r="8" spans="1:10" s="789" customFormat="1" ht="21.95" customHeight="1">
      <c r="A8" s="786" t="s">
        <v>994</v>
      </c>
      <c r="B8" s="787"/>
      <c r="C8" s="787"/>
      <c r="D8" s="787"/>
      <c r="E8" s="787"/>
      <c r="F8" s="787"/>
      <c r="G8" s="787"/>
      <c r="H8" s="787"/>
      <c r="I8" s="787"/>
      <c r="J8" s="788" t="s">
        <v>942</v>
      </c>
    </row>
    <row r="9" spans="1:10" s="789" customFormat="1" ht="21.95" customHeight="1">
      <c r="A9" s="790" t="s">
        <v>678</v>
      </c>
      <c r="B9" s="507"/>
      <c r="C9" s="507"/>
      <c r="D9" s="507"/>
      <c r="E9" s="507"/>
      <c r="F9" s="507"/>
      <c r="G9" s="507"/>
      <c r="H9" s="507"/>
      <c r="I9" s="507"/>
      <c r="J9" s="785">
        <v>17</v>
      </c>
    </row>
    <row r="10" spans="1:10" s="789" customFormat="1" ht="21.95" customHeight="1">
      <c r="A10" s="790" t="s">
        <v>679</v>
      </c>
      <c r="B10" s="507"/>
      <c r="C10" s="507"/>
      <c r="D10" s="507"/>
      <c r="E10" s="507"/>
      <c r="F10" s="507"/>
      <c r="G10" s="507"/>
      <c r="H10" s="507"/>
      <c r="I10" s="507"/>
      <c r="J10" s="785">
        <v>18</v>
      </c>
    </row>
    <row r="11" spans="1:10" ht="21.95" customHeight="1">
      <c r="A11" s="783" t="s">
        <v>943</v>
      </c>
      <c r="B11" s="507"/>
      <c r="C11" s="507"/>
      <c r="D11" s="507"/>
      <c r="E11" s="507"/>
      <c r="F11" s="507"/>
      <c r="G11" s="507"/>
      <c r="H11" s="507"/>
      <c r="I11" s="507"/>
      <c r="J11" s="785" t="s">
        <v>124</v>
      </c>
    </row>
    <row r="12" spans="1:10" s="789" customFormat="1" ht="21.95" customHeight="1">
      <c r="A12" s="790" t="s">
        <v>587</v>
      </c>
      <c r="B12" s="507"/>
      <c r="C12" s="507"/>
      <c r="D12" s="507"/>
      <c r="E12" s="507"/>
      <c r="F12" s="507"/>
      <c r="G12" s="507"/>
      <c r="H12" s="507"/>
      <c r="I12" s="507"/>
      <c r="J12" s="785">
        <v>19</v>
      </c>
    </row>
    <row r="13" spans="1:10" s="789" customFormat="1" ht="21.95" customHeight="1">
      <c r="A13" s="791" t="s">
        <v>944</v>
      </c>
      <c r="B13" s="507"/>
      <c r="C13" s="507"/>
      <c r="D13" s="507"/>
      <c r="E13" s="507"/>
      <c r="F13" s="507"/>
      <c r="G13" s="507"/>
      <c r="H13" s="507"/>
      <c r="I13" s="507"/>
      <c r="J13" s="785">
        <v>20</v>
      </c>
    </row>
    <row r="14" spans="1:10" s="789" customFormat="1" ht="21.95" customHeight="1">
      <c r="A14" s="791" t="s">
        <v>945</v>
      </c>
      <c r="B14" s="507"/>
      <c r="C14" s="507"/>
      <c r="D14" s="507"/>
      <c r="E14" s="507"/>
      <c r="F14" s="507"/>
      <c r="G14" s="507"/>
      <c r="H14" s="507"/>
      <c r="I14" s="507"/>
      <c r="J14" s="785">
        <v>21</v>
      </c>
    </row>
    <row r="15" spans="1:10" s="789" customFormat="1" ht="21.95" customHeight="1">
      <c r="A15" s="791" t="s">
        <v>946</v>
      </c>
      <c r="B15" s="507"/>
      <c r="C15" s="507"/>
      <c r="D15" s="507"/>
      <c r="E15" s="507"/>
      <c r="F15" s="507"/>
      <c r="G15" s="507"/>
      <c r="H15" s="507"/>
      <c r="I15" s="507"/>
      <c r="J15" s="785">
        <v>22</v>
      </c>
    </row>
    <row r="16" spans="1:10" s="789" customFormat="1" ht="21.95" customHeight="1">
      <c r="A16" s="790" t="s">
        <v>947</v>
      </c>
      <c r="B16" s="507"/>
      <c r="C16" s="507"/>
      <c r="D16" s="507"/>
      <c r="E16" s="507"/>
      <c r="F16" s="507"/>
      <c r="G16" s="507"/>
      <c r="H16" s="507"/>
      <c r="I16" s="507"/>
      <c r="J16" s="785" t="s">
        <v>993</v>
      </c>
    </row>
    <row r="17" spans="1:10" s="789" customFormat="1" ht="21.95" customHeight="1">
      <c r="A17" s="790" t="s">
        <v>1118</v>
      </c>
      <c r="B17" s="507"/>
      <c r="C17" s="507"/>
      <c r="D17" s="507"/>
      <c r="E17" s="507"/>
      <c r="F17" s="507"/>
      <c r="G17" s="507"/>
      <c r="H17" s="507"/>
      <c r="I17" s="507"/>
      <c r="J17" s="785" t="s">
        <v>1124</v>
      </c>
    </row>
    <row r="18" spans="1:10" s="789" customFormat="1" ht="21.95" customHeight="1">
      <c r="A18" s="790" t="s">
        <v>1119</v>
      </c>
      <c r="B18" s="507"/>
      <c r="C18" s="507"/>
      <c r="D18" s="507"/>
      <c r="E18" s="507"/>
      <c r="F18" s="507"/>
      <c r="G18" s="507"/>
      <c r="H18" s="507"/>
      <c r="I18" s="507"/>
      <c r="J18" s="785">
        <v>28</v>
      </c>
    </row>
    <row r="19" spans="1:10" s="789" customFormat="1" ht="21.95" customHeight="1">
      <c r="A19" s="790" t="s">
        <v>1120</v>
      </c>
      <c r="B19" s="507"/>
      <c r="C19" s="507"/>
      <c r="D19" s="507"/>
      <c r="E19" s="507"/>
      <c r="F19" s="507"/>
      <c r="G19" s="507"/>
      <c r="H19" s="507"/>
      <c r="I19" s="507"/>
      <c r="J19" s="785">
        <v>29</v>
      </c>
    </row>
    <row r="20" spans="1:10" s="789" customFormat="1" ht="21.95" customHeight="1">
      <c r="A20" s="790" t="s">
        <v>1121</v>
      </c>
      <c r="B20" s="507"/>
      <c r="C20" s="507"/>
      <c r="D20" s="507"/>
      <c r="E20" s="507"/>
      <c r="F20" s="507"/>
      <c r="G20" s="507"/>
      <c r="H20" s="507"/>
      <c r="I20" s="507"/>
      <c r="J20" s="785" t="s">
        <v>1125</v>
      </c>
    </row>
    <row r="21" spans="1:10" s="789" customFormat="1" ht="21.95" customHeight="1">
      <c r="A21" s="790" t="s">
        <v>1122</v>
      </c>
      <c r="B21" s="507"/>
      <c r="C21" s="507"/>
      <c r="D21" s="507"/>
      <c r="E21" s="507"/>
      <c r="F21" s="507"/>
      <c r="G21" s="507"/>
      <c r="H21" s="507"/>
      <c r="I21" s="507"/>
      <c r="J21" s="785">
        <v>32</v>
      </c>
    </row>
    <row r="22" spans="1:10" s="789" customFormat="1" ht="21.95" customHeight="1">
      <c r="A22" s="790" t="s">
        <v>1123</v>
      </c>
      <c r="B22" s="507"/>
      <c r="C22" s="507"/>
      <c r="D22" s="507"/>
      <c r="E22" s="507"/>
      <c r="F22" s="507"/>
      <c r="G22" s="507"/>
      <c r="H22" s="507"/>
      <c r="I22" s="507"/>
      <c r="J22" s="785">
        <v>33</v>
      </c>
    </row>
    <row r="23" spans="1:10" ht="21.95" customHeight="1">
      <c r="A23" s="783" t="s">
        <v>588</v>
      </c>
      <c r="B23" s="507"/>
      <c r="C23" s="507"/>
      <c r="D23" s="507"/>
      <c r="E23" s="507"/>
      <c r="F23" s="507"/>
      <c r="G23" s="507"/>
      <c r="H23" s="507"/>
      <c r="I23" s="507"/>
      <c r="J23" s="785"/>
    </row>
    <row r="24" spans="1:10" s="789" customFormat="1" ht="21.95" customHeight="1">
      <c r="A24" s="786" t="s">
        <v>628</v>
      </c>
      <c r="B24" s="787"/>
      <c r="C24" s="787"/>
      <c r="D24" s="787"/>
      <c r="E24" s="787"/>
      <c r="F24" s="787"/>
      <c r="G24" s="787"/>
      <c r="H24" s="787"/>
      <c r="I24" s="787"/>
      <c r="J24" s="785">
        <v>35</v>
      </c>
    </row>
    <row r="25" spans="1:10" s="789" customFormat="1" ht="21.95" customHeight="1">
      <c r="A25" s="790" t="s">
        <v>948</v>
      </c>
      <c r="B25" s="507"/>
      <c r="C25" s="507"/>
      <c r="D25" s="507"/>
      <c r="E25" s="507"/>
      <c r="F25" s="507"/>
      <c r="G25" s="507"/>
      <c r="H25" s="507"/>
      <c r="I25" s="507"/>
      <c r="J25" s="785">
        <v>36</v>
      </c>
    </row>
    <row r="26" spans="1:10" s="789" customFormat="1" ht="21.95" customHeight="1">
      <c r="A26" s="790" t="s">
        <v>949</v>
      </c>
      <c r="B26" s="507"/>
      <c r="C26" s="507"/>
      <c r="D26" s="507"/>
      <c r="E26" s="507"/>
      <c r="F26" s="507"/>
      <c r="G26" s="507"/>
      <c r="H26" s="507"/>
      <c r="I26" s="507"/>
      <c r="J26" s="785">
        <v>37</v>
      </c>
    </row>
    <row r="27" spans="1:10" s="789" customFormat="1" ht="21.95" customHeight="1">
      <c r="A27" s="790" t="s">
        <v>730</v>
      </c>
      <c r="B27" s="507"/>
      <c r="C27" s="507"/>
      <c r="D27" s="507"/>
      <c r="E27" s="507"/>
      <c r="F27" s="507"/>
      <c r="G27" s="507"/>
      <c r="H27" s="507"/>
      <c r="I27" s="507"/>
      <c r="J27" s="785" t="s">
        <v>1126</v>
      </c>
    </row>
    <row r="28" spans="1:10" s="789" customFormat="1" ht="21.95" customHeight="1">
      <c r="A28" s="792" t="s">
        <v>950</v>
      </c>
      <c r="B28" s="507"/>
      <c r="C28" s="507"/>
      <c r="D28" s="507"/>
      <c r="E28" s="507"/>
      <c r="F28" s="507"/>
      <c r="G28" s="507"/>
      <c r="H28" s="507"/>
      <c r="I28" s="507"/>
      <c r="J28" s="785">
        <v>40</v>
      </c>
    </row>
    <row r="29" spans="1:10" ht="21.95" customHeight="1">
      <c r="A29" s="783" t="s">
        <v>589</v>
      </c>
      <c r="B29" s="507"/>
      <c r="C29" s="507"/>
      <c r="D29" s="507"/>
      <c r="E29" s="507"/>
      <c r="F29" s="507"/>
      <c r="G29" s="507"/>
      <c r="H29" s="507"/>
      <c r="I29" s="507"/>
      <c r="J29" s="785"/>
    </row>
    <row r="30" spans="1:10" s="789" customFormat="1" ht="21.75" customHeight="1">
      <c r="A30" s="790" t="s">
        <v>629</v>
      </c>
      <c r="B30" s="507"/>
      <c r="C30" s="507"/>
      <c r="D30" s="507"/>
      <c r="E30" s="507"/>
      <c r="F30" s="507"/>
      <c r="G30" s="507"/>
      <c r="H30" s="507"/>
      <c r="I30" s="507"/>
      <c r="J30" s="785"/>
    </row>
    <row r="31" spans="1:10" s="789" customFormat="1" ht="19.5">
      <c r="A31" s="790" t="s">
        <v>951</v>
      </c>
      <c r="B31" s="793"/>
      <c r="C31" s="793"/>
      <c r="D31" s="793"/>
      <c r="E31" s="793"/>
      <c r="F31" s="793"/>
      <c r="G31" s="793"/>
      <c r="H31" s="793"/>
      <c r="I31" s="793"/>
      <c r="J31" s="785">
        <v>41</v>
      </c>
    </row>
    <row r="32" spans="1:10" s="789" customFormat="1" ht="19.5">
      <c r="A32" s="790"/>
      <c r="B32" s="793"/>
      <c r="C32" s="793"/>
      <c r="D32" s="793"/>
      <c r="E32" s="793"/>
      <c r="F32" s="793"/>
      <c r="G32" s="793"/>
      <c r="H32" s="793"/>
      <c r="I32" s="793"/>
      <c r="J32" s="785"/>
    </row>
    <row r="33" spans="1:10" s="789" customFormat="1" ht="19.5">
      <c r="A33" s="790"/>
      <c r="B33" s="793"/>
      <c r="C33" s="793"/>
      <c r="D33" s="793"/>
      <c r="E33" s="793"/>
      <c r="F33" s="793"/>
      <c r="G33" s="793"/>
      <c r="H33" s="793"/>
      <c r="I33" s="793"/>
      <c r="J33" s="785"/>
    </row>
    <row r="34" spans="1:10" s="789" customFormat="1" ht="19.5">
      <c r="A34" s="790"/>
      <c r="B34" s="793"/>
      <c r="C34" s="793"/>
      <c r="D34" s="793"/>
      <c r="E34" s="793"/>
      <c r="F34" s="793"/>
      <c r="G34" s="793"/>
      <c r="H34" s="793"/>
      <c r="I34" s="793"/>
      <c r="J34" s="785"/>
    </row>
    <row r="35" spans="1:10" ht="13.9" customHeight="1" thickBot="1">
      <c r="A35" s="794"/>
      <c r="B35" s="795"/>
      <c r="C35" s="795"/>
      <c r="D35" s="795"/>
      <c r="E35" s="795"/>
      <c r="F35" s="795"/>
      <c r="G35" s="795"/>
      <c r="H35" s="795"/>
      <c r="I35" s="795"/>
      <c r="J35" s="796"/>
    </row>
  </sheetData>
  <mergeCells count="3">
    <mergeCell ref="A1:J1"/>
    <mergeCell ref="A2:J2"/>
    <mergeCell ref="A3:J3"/>
  </mergeCells>
  <phoneticPr fontId="14" type="noConversion"/>
  <printOptions horizontalCentered="1"/>
  <pageMargins left="0.6692913385826772" right="0.6692913385826772" top="0.59055118110236227" bottom="0.78740157480314965" header="0.47244094488188981" footer="0.51181102362204722"/>
  <pageSetup paperSize="9"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1">
    <tabColor rgb="FFFFFFCC"/>
  </sheetPr>
  <dimension ref="A1:K35"/>
  <sheetViews>
    <sheetView tabSelected="1" view="pageBreakPreview" zoomScale="80" zoomScaleNormal="100" zoomScaleSheetLayoutView="80" workbookViewId="0">
      <selection activeCell="B12" sqref="B12:K12"/>
    </sheetView>
  </sheetViews>
  <sheetFormatPr defaultColWidth="9" defaultRowHeight="16.5"/>
  <cols>
    <col min="1" max="2" width="2.875" style="37" customWidth="1"/>
    <col min="3" max="3" width="11.375" style="37" customWidth="1"/>
    <col min="4" max="10" width="9" style="37"/>
    <col min="11" max="11" width="7.125" style="37" customWidth="1"/>
    <col min="12" max="16384" width="9" style="37"/>
  </cols>
  <sheetData>
    <row r="1" spans="1:11" ht="25.5">
      <c r="A1" s="1017" t="s">
        <v>220</v>
      </c>
      <c r="B1" s="1018"/>
      <c r="C1" s="1018"/>
      <c r="D1" s="1018"/>
      <c r="E1" s="1018"/>
      <c r="F1" s="1018"/>
      <c r="G1" s="1018"/>
      <c r="H1" s="1018"/>
      <c r="I1" s="1018"/>
      <c r="J1" s="1018"/>
      <c r="K1" s="1018"/>
    </row>
    <row r="2" spans="1:11" ht="21">
      <c r="A2" s="1028" t="s">
        <v>76</v>
      </c>
      <c r="B2" s="1029"/>
      <c r="C2" s="1029"/>
      <c r="D2" s="1029"/>
      <c r="E2" s="1029"/>
      <c r="F2" s="1029"/>
      <c r="G2" s="1029"/>
      <c r="H2" s="1029"/>
      <c r="I2" s="1029"/>
      <c r="J2" s="1029"/>
      <c r="K2" s="1029"/>
    </row>
    <row r="3" spans="1:11" ht="21">
      <c r="A3" s="1027" t="s">
        <v>939</v>
      </c>
      <c r="B3" s="1026"/>
      <c r="C3" s="1026"/>
      <c r="D3" s="1026"/>
      <c r="E3" s="1026"/>
      <c r="F3" s="1026"/>
      <c r="G3" s="1026"/>
      <c r="H3" s="1026"/>
      <c r="I3" s="1026"/>
      <c r="J3" s="1026"/>
      <c r="K3" s="1026"/>
    </row>
    <row r="4" spans="1:11" s="191" customFormat="1" ht="19.5">
      <c r="A4" s="1025" t="s">
        <v>1066</v>
      </c>
      <c r="B4" s="1026"/>
      <c r="C4" s="1026"/>
      <c r="D4" s="1026"/>
      <c r="E4" s="1026"/>
      <c r="F4" s="1026"/>
      <c r="G4" s="1026"/>
      <c r="H4" s="1026"/>
      <c r="I4" s="1026"/>
      <c r="J4" s="1026"/>
      <c r="K4" s="1026"/>
    </row>
    <row r="5" spans="1:11" ht="17.25" customHeight="1" thickBot="1">
      <c r="B5" s="189"/>
      <c r="C5" s="190"/>
      <c r="D5" s="190"/>
      <c r="E5" s="190"/>
      <c r="F5" s="190"/>
      <c r="G5" s="190"/>
      <c r="H5" s="190"/>
      <c r="I5" s="190"/>
      <c r="J5" s="190"/>
      <c r="K5" s="188"/>
    </row>
    <row r="6" spans="1:11" s="356" customFormat="1" ht="30" customHeight="1">
      <c r="A6" s="561"/>
      <c r="B6" s="1034" t="s">
        <v>960</v>
      </c>
      <c r="C6" s="1034"/>
      <c r="D6" s="1034"/>
      <c r="E6" s="1034"/>
      <c r="F6" s="1034"/>
      <c r="G6" s="1034"/>
      <c r="H6" s="1034"/>
      <c r="I6" s="1034"/>
      <c r="J6" s="1034"/>
      <c r="K6" s="1035"/>
    </row>
    <row r="7" spans="1:11" s="356" customFormat="1" ht="30" customHeight="1">
      <c r="A7" s="560"/>
      <c r="B7" s="1021" t="s">
        <v>1069</v>
      </c>
      <c r="C7" s="1021"/>
      <c r="D7" s="1021"/>
      <c r="E7" s="1021"/>
      <c r="F7" s="1021"/>
      <c r="G7" s="1021"/>
      <c r="H7" s="1021"/>
      <c r="I7" s="1021"/>
      <c r="J7" s="1021"/>
      <c r="K7" s="1022"/>
    </row>
    <row r="8" spans="1:11" s="356" customFormat="1" ht="30" customHeight="1">
      <c r="A8" s="560"/>
      <c r="B8" s="1030" t="s">
        <v>1070</v>
      </c>
      <c r="C8" s="1030"/>
      <c r="D8" s="1030"/>
      <c r="E8" s="1030"/>
      <c r="F8" s="1030"/>
      <c r="G8" s="1030"/>
      <c r="H8" s="1030"/>
      <c r="I8" s="1030"/>
      <c r="J8" s="1030"/>
      <c r="K8" s="1031"/>
    </row>
    <row r="9" spans="1:11" s="559" customFormat="1" ht="30" customHeight="1">
      <c r="A9" s="558"/>
      <c r="B9" s="1030" t="s">
        <v>1071</v>
      </c>
      <c r="C9" s="1030"/>
      <c r="D9" s="1030"/>
      <c r="E9" s="1030"/>
      <c r="F9" s="1030"/>
      <c r="G9" s="1030"/>
      <c r="H9" s="1030"/>
      <c r="I9" s="1030"/>
      <c r="J9" s="1030"/>
      <c r="K9" s="1031"/>
    </row>
    <row r="10" spans="1:11" s="559" customFormat="1" ht="37.9" customHeight="1">
      <c r="A10" s="558"/>
      <c r="B10" s="1015" t="s">
        <v>1012</v>
      </c>
      <c r="C10" s="1015"/>
      <c r="D10" s="1015"/>
      <c r="E10" s="1015"/>
      <c r="F10" s="1015"/>
      <c r="G10" s="1015"/>
      <c r="H10" s="1015"/>
      <c r="I10" s="1015"/>
      <c r="J10" s="1015"/>
      <c r="K10" s="1016"/>
    </row>
    <row r="11" spans="1:11" s="559" customFormat="1" ht="34.9" customHeight="1">
      <c r="A11" s="558"/>
      <c r="B11" s="1015" t="s">
        <v>1072</v>
      </c>
      <c r="C11" s="1015"/>
      <c r="D11" s="1015"/>
      <c r="E11" s="1015"/>
      <c r="F11" s="1015"/>
      <c r="G11" s="1015"/>
      <c r="H11" s="1015"/>
      <c r="I11" s="1015"/>
      <c r="J11" s="1015"/>
      <c r="K11" s="1016"/>
    </row>
    <row r="12" spans="1:11" s="356" customFormat="1" ht="50.25" customHeight="1">
      <c r="A12" s="560"/>
      <c r="B12" s="1021" t="s">
        <v>1131</v>
      </c>
      <c r="C12" s="1021"/>
      <c r="D12" s="1021"/>
      <c r="E12" s="1021"/>
      <c r="F12" s="1021"/>
      <c r="G12" s="1021"/>
      <c r="H12" s="1021"/>
      <c r="I12" s="1021"/>
      <c r="J12" s="1021"/>
      <c r="K12" s="1022"/>
    </row>
    <row r="13" spans="1:11" s="356" customFormat="1" ht="30" hidden="1" customHeight="1">
      <c r="A13" s="560"/>
      <c r="B13" s="1032" t="s">
        <v>1068</v>
      </c>
      <c r="C13" s="1032"/>
      <c r="D13" s="1032"/>
      <c r="E13" s="1032"/>
      <c r="F13" s="1032"/>
      <c r="G13" s="1032"/>
      <c r="H13" s="1032"/>
      <c r="I13" s="1032"/>
      <c r="J13" s="1032"/>
      <c r="K13" s="1033"/>
    </row>
    <row r="14" spans="1:11" s="559" customFormat="1" ht="35.1" hidden="1" customHeight="1">
      <c r="A14" s="558"/>
      <c r="B14" s="1032" t="s">
        <v>1067</v>
      </c>
      <c r="C14" s="1032"/>
      <c r="D14" s="1032"/>
      <c r="E14" s="1032"/>
      <c r="F14" s="1032"/>
      <c r="G14" s="1032"/>
      <c r="H14" s="1032"/>
      <c r="I14" s="1032"/>
      <c r="J14" s="1032"/>
      <c r="K14" s="1033"/>
    </row>
    <row r="15" spans="1:11" s="356" customFormat="1" ht="25.15" customHeight="1">
      <c r="A15" s="560"/>
      <c r="B15" s="1019" t="s">
        <v>1073</v>
      </c>
      <c r="C15" s="1019"/>
      <c r="D15" s="1019"/>
      <c r="E15" s="1019"/>
      <c r="F15" s="1019"/>
      <c r="G15" s="1019"/>
      <c r="H15" s="1019"/>
      <c r="I15" s="1019"/>
      <c r="J15" s="1019"/>
      <c r="K15" s="1020"/>
    </row>
    <row r="16" spans="1:11" s="356" customFormat="1" ht="25.15" customHeight="1">
      <c r="A16" s="560"/>
      <c r="B16" s="1023" t="s">
        <v>1074</v>
      </c>
      <c r="C16" s="1023"/>
      <c r="D16" s="1023"/>
      <c r="E16" s="1023"/>
      <c r="F16" s="1023"/>
      <c r="G16" s="1023"/>
      <c r="H16" s="1023"/>
      <c r="I16" s="1023"/>
      <c r="J16" s="1023"/>
      <c r="K16" s="1024"/>
    </row>
    <row r="17" spans="1:11" s="356" customFormat="1" ht="30" customHeight="1">
      <c r="A17" s="560"/>
      <c r="B17" s="1011" t="s">
        <v>1075</v>
      </c>
      <c r="C17" s="1011"/>
      <c r="D17" s="1011"/>
      <c r="E17" s="1011"/>
      <c r="F17" s="1011"/>
      <c r="G17" s="1011"/>
      <c r="H17" s="1011"/>
      <c r="I17" s="1011"/>
      <c r="J17" s="1011"/>
      <c r="K17" s="1012"/>
    </row>
    <row r="18" spans="1:11" s="356" customFormat="1" ht="35.1" customHeight="1">
      <c r="A18" s="560"/>
      <c r="B18" s="1011" t="s">
        <v>1127</v>
      </c>
      <c r="C18" s="1011"/>
      <c r="D18" s="1011"/>
      <c r="E18" s="1011"/>
      <c r="F18" s="1011"/>
      <c r="G18" s="1011"/>
      <c r="H18" s="1011"/>
      <c r="I18" s="1011"/>
      <c r="J18" s="1011"/>
      <c r="K18" s="1012"/>
    </row>
    <row r="19" spans="1:11" s="356" customFormat="1" ht="37.5" customHeight="1">
      <c r="A19" s="560"/>
      <c r="B19" s="1013" t="s">
        <v>1128</v>
      </c>
      <c r="C19" s="1013"/>
      <c r="D19" s="1013"/>
      <c r="E19" s="1013"/>
      <c r="F19" s="1013"/>
      <c r="G19" s="1013"/>
      <c r="H19" s="1013"/>
      <c r="I19" s="1013"/>
      <c r="J19" s="1013"/>
      <c r="K19" s="1014"/>
    </row>
    <row r="20" spans="1:11" s="356" customFormat="1" ht="25.15" customHeight="1">
      <c r="A20" s="560"/>
      <c r="B20" s="951" t="s">
        <v>1076</v>
      </c>
      <c r="C20" s="692"/>
      <c r="D20" s="692"/>
      <c r="E20" s="692"/>
      <c r="F20" s="692"/>
      <c r="G20" s="692"/>
      <c r="H20" s="692"/>
      <c r="I20" s="692"/>
      <c r="J20" s="692"/>
      <c r="K20" s="693"/>
    </row>
    <row r="21" spans="1:11" s="356" customFormat="1" ht="30" customHeight="1">
      <c r="A21" s="560"/>
      <c r="B21" s="1009" t="s">
        <v>1020</v>
      </c>
      <c r="C21" s="1009"/>
      <c r="D21" s="1009"/>
      <c r="E21" s="1009"/>
      <c r="F21" s="1009"/>
      <c r="G21" s="1009"/>
      <c r="H21" s="1009"/>
      <c r="I21" s="1009"/>
      <c r="J21" s="1009"/>
      <c r="K21" s="1010"/>
    </row>
    <row r="22" spans="1:11" ht="25.15" customHeight="1">
      <c r="A22" s="70"/>
      <c r="B22" s="188"/>
      <c r="C22" s="188"/>
      <c r="D22" s="188"/>
      <c r="E22" s="188"/>
      <c r="F22" s="188"/>
      <c r="G22" s="188"/>
      <c r="H22" s="188"/>
      <c r="I22" s="188"/>
      <c r="J22" s="188"/>
      <c r="K22" s="251"/>
    </row>
    <row r="23" spans="1:11">
      <c r="A23" s="70"/>
      <c r="B23" s="69"/>
      <c r="C23" s="69"/>
      <c r="D23" s="69"/>
      <c r="E23" s="69"/>
      <c r="F23" s="69"/>
      <c r="G23" s="69"/>
      <c r="H23" s="69"/>
      <c r="I23" s="69"/>
      <c r="J23" s="69"/>
      <c r="K23" s="75"/>
    </row>
    <row r="24" spans="1:11">
      <c r="A24" s="70"/>
      <c r="B24" s="69"/>
      <c r="C24" s="69"/>
      <c r="D24" s="69"/>
      <c r="E24" s="69"/>
      <c r="F24" s="69"/>
      <c r="G24" s="69"/>
      <c r="H24" s="69"/>
      <c r="I24" s="69"/>
      <c r="J24" s="69"/>
      <c r="K24" s="75"/>
    </row>
    <row r="25" spans="1:11">
      <c r="A25" s="70"/>
      <c r="B25" s="69"/>
      <c r="C25" s="69"/>
      <c r="D25" s="69"/>
      <c r="E25" s="69"/>
      <c r="F25" s="69"/>
      <c r="G25" s="69"/>
      <c r="H25" s="69"/>
      <c r="I25" s="69"/>
      <c r="J25" s="69"/>
      <c r="K25" s="75"/>
    </row>
    <row r="26" spans="1:11">
      <c r="A26" s="70"/>
      <c r="B26" s="69"/>
      <c r="C26" s="69"/>
      <c r="D26" s="69"/>
      <c r="E26" s="69"/>
      <c r="F26" s="69"/>
      <c r="G26" s="69"/>
      <c r="H26" s="69"/>
      <c r="I26" s="69"/>
      <c r="J26" s="69"/>
      <c r="K26" s="75"/>
    </row>
    <row r="27" spans="1:11">
      <c r="A27" s="70"/>
      <c r="B27" s="69"/>
      <c r="C27" s="69"/>
      <c r="D27" s="69"/>
      <c r="E27" s="69"/>
      <c r="F27" s="69"/>
      <c r="G27" s="69"/>
      <c r="H27" s="69"/>
      <c r="I27" s="69"/>
      <c r="J27" s="69"/>
      <c r="K27" s="75"/>
    </row>
    <row r="28" spans="1:11">
      <c r="A28" s="70"/>
      <c r="B28" s="69"/>
      <c r="C28" s="69"/>
      <c r="D28" s="69"/>
      <c r="E28" s="69"/>
      <c r="F28" s="69"/>
      <c r="G28" s="69"/>
      <c r="H28" s="69"/>
      <c r="I28" s="69"/>
      <c r="J28" s="69"/>
      <c r="K28" s="75"/>
    </row>
    <row r="29" spans="1:11">
      <c r="A29" s="70"/>
      <c r="B29" s="69"/>
      <c r="C29" s="69"/>
      <c r="D29" s="69"/>
      <c r="E29" s="69"/>
      <c r="F29" s="69"/>
      <c r="G29" s="69"/>
      <c r="H29" s="69"/>
      <c r="I29" s="69"/>
      <c r="J29" s="69"/>
      <c r="K29" s="75"/>
    </row>
    <row r="30" spans="1:11">
      <c r="A30" s="70"/>
      <c r="B30" s="69"/>
      <c r="C30" s="69"/>
      <c r="D30" s="69"/>
      <c r="E30" s="69"/>
      <c r="F30" s="69"/>
      <c r="G30" s="69"/>
      <c r="H30" s="69"/>
      <c r="I30" s="69"/>
      <c r="J30" s="69"/>
      <c r="K30" s="75"/>
    </row>
    <row r="31" spans="1:11" ht="17.25" thickBot="1">
      <c r="A31" s="79"/>
      <c r="B31" s="80"/>
      <c r="C31" s="80"/>
      <c r="D31" s="80"/>
      <c r="E31" s="80"/>
      <c r="F31" s="80"/>
      <c r="G31" s="80"/>
      <c r="H31" s="80"/>
      <c r="I31" s="80"/>
      <c r="J31" s="80"/>
      <c r="K31" s="81"/>
    </row>
    <row r="32" spans="1:11" hidden="1">
      <c r="A32" s="70"/>
      <c r="B32" s="69"/>
      <c r="C32" s="69"/>
      <c r="D32" s="69"/>
      <c r="E32" s="69"/>
      <c r="F32" s="69"/>
      <c r="G32" s="69"/>
      <c r="H32" s="69"/>
      <c r="I32" s="69"/>
      <c r="J32" s="69"/>
      <c r="K32" s="75"/>
    </row>
    <row r="33" spans="1:11" hidden="1">
      <c r="A33" s="70"/>
      <c r="B33" s="69"/>
      <c r="C33" s="69"/>
      <c r="D33" s="69"/>
      <c r="E33" s="69"/>
      <c r="F33" s="69"/>
      <c r="G33" s="69"/>
      <c r="H33" s="69"/>
      <c r="I33" s="69"/>
      <c r="J33" s="69"/>
      <c r="K33" s="75"/>
    </row>
    <row r="34" spans="1:11" hidden="1">
      <c r="A34" s="70"/>
      <c r="B34" s="69"/>
      <c r="C34" s="69"/>
      <c r="D34" s="69"/>
      <c r="E34" s="69"/>
      <c r="F34" s="69"/>
      <c r="G34" s="69"/>
      <c r="H34" s="69"/>
      <c r="I34" s="69"/>
      <c r="J34" s="69"/>
      <c r="K34" s="75"/>
    </row>
    <row r="35" spans="1:11" ht="14.45" hidden="1" customHeight="1" thickBot="1">
      <c r="A35" s="79"/>
      <c r="B35" s="80"/>
      <c r="C35" s="80"/>
      <c r="D35" s="80"/>
      <c r="E35" s="80"/>
      <c r="F35" s="80"/>
      <c r="G35" s="80"/>
      <c r="H35" s="80"/>
      <c r="I35" s="80"/>
      <c r="J35" s="80"/>
      <c r="K35" s="81"/>
    </row>
  </sheetData>
  <mergeCells count="19">
    <mergeCell ref="A1:K1"/>
    <mergeCell ref="B15:K15"/>
    <mergeCell ref="B12:K12"/>
    <mergeCell ref="B7:K7"/>
    <mergeCell ref="B16:K16"/>
    <mergeCell ref="A4:K4"/>
    <mergeCell ref="A3:K3"/>
    <mergeCell ref="A2:K2"/>
    <mergeCell ref="B8:K8"/>
    <mergeCell ref="B9:K9"/>
    <mergeCell ref="B13:K13"/>
    <mergeCell ref="B14:K14"/>
    <mergeCell ref="B6:K6"/>
    <mergeCell ref="B21:K21"/>
    <mergeCell ref="B17:K17"/>
    <mergeCell ref="B18:K18"/>
    <mergeCell ref="B19:K19"/>
    <mergeCell ref="B10:K10"/>
    <mergeCell ref="B11:K11"/>
  </mergeCells>
  <phoneticPr fontId="14" type="noConversion"/>
  <printOptions horizontalCentered="1"/>
  <pageMargins left="0.6692913385826772" right="0.6692913385826772" top="0.59055118110236227" bottom="0.78740157480314965" header="0.51181102362204722" footer="0.51181102362204722"/>
  <pageSetup paperSize="9" firstPageNumber="16" orientation="portrait" useFirstPageNumber="1" r:id="rId1"/>
  <headerFooter scaleWithDoc="0" alignWithMargins="0">
    <oddFooter>&amp;C&amp;"Arial Unicode MS,標準"&amp;P</oddFooter>
  </headerFooter>
</worksheet>
</file>

<file path=xl/worksheets/sheet11.xml><?xml version="1.0" encoding="utf-8"?>
<worksheet xmlns="http://schemas.openxmlformats.org/spreadsheetml/2006/main" xmlns:r="http://schemas.openxmlformats.org/officeDocument/2006/relationships">
  <sheetPr codeName="Sheet12">
    <tabColor rgb="FFFFFFCC"/>
  </sheetPr>
  <dimension ref="A1:H38"/>
  <sheetViews>
    <sheetView view="pageBreakPreview" topLeftCell="A4" zoomScale="80" zoomScaleNormal="100" zoomScaleSheetLayoutView="80" workbookViewId="0">
      <selection activeCell="C12" sqref="C12"/>
    </sheetView>
  </sheetViews>
  <sheetFormatPr defaultColWidth="9" defaultRowHeight="16.5"/>
  <cols>
    <col min="1" max="1" width="14.25" style="711" customWidth="1"/>
    <col min="2" max="2" width="8.75" style="711" customWidth="1"/>
    <col min="3" max="3" width="17.625" style="711" customWidth="1"/>
    <col min="4" max="4" width="8.5" style="711" customWidth="1"/>
    <col min="5" max="5" width="14.125" style="711" customWidth="1"/>
    <col min="6" max="6" width="8.625" style="711" customWidth="1"/>
    <col min="7" max="7" width="20.625" style="711" customWidth="1"/>
    <col min="8" max="16384" width="9" style="711"/>
  </cols>
  <sheetData>
    <row r="1" spans="1:8" s="484" customFormat="1" ht="25.5">
      <c r="A1" s="1039" t="s">
        <v>144</v>
      </c>
      <c r="B1" s="1039"/>
      <c r="C1" s="1039"/>
      <c r="D1" s="1039"/>
      <c r="E1" s="1039"/>
      <c r="F1" s="1039"/>
      <c r="G1" s="1039"/>
      <c r="H1" s="483"/>
    </row>
    <row r="2" spans="1:8" ht="21">
      <c r="A2" s="1040" t="s">
        <v>145</v>
      </c>
      <c r="B2" s="1040"/>
      <c r="C2" s="1040"/>
      <c r="D2" s="1040"/>
      <c r="E2" s="1040"/>
      <c r="F2" s="1040"/>
      <c r="G2" s="1040"/>
      <c r="H2" s="485"/>
    </row>
    <row r="3" spans="1:8" ht="21">
      <c r="A3" s="1041" t="s">
        <v>131</v>
      </c>
      <c r="B3" s="1041"/>
      <c r="C3" s="1041"/>
      <c r="D3" s="1041"/>
      <c r="E3" s="1041"/>
      <c r="F3" s="1041"/>
      <c r="G3" s="1041"/>
      <c r="H3" s="770"/>
    </row>
    <row r="4" spans="1:8" ht="19.5">
      <c r="A4" s="1038" t="s">
        <v>1077</v>
      </c>
      <c r="B4" s="1038"/>
      <c r="C4" s="1038"/>
      <c r="D4" s="1038"/>
      <c r="E4" s="1038"/>
      <c r="F4" s="1038"/>
      <c r="G4" s="1038"/>
      <c r="H4" s="472"/>
    </row>
    <row r="5" spans="1:8" ht="17.25" thickBot="1">
      <c r="A5" s="487"/>
      <c r="B5" s="487"/>
      <c r="C5" s="487"/>
      <c r="D5" s="487"/>
      <c r="E5" s="487"/>
      <c r="F5" s="487"/>
      <c r="G5" s="473" t="s">
        <v>619</v>
      </c>
      <c r="H5" s="487"/>
    </row>
    <row r="6" spans="1:8" s="482" customFormat="1" ht="21" customHeight="1">
      <c r="A6" s="1044" t="s">
        <v>62</v>
      </c>
      <c r="B6" s="1043"/>
      <c r="C6" s="1047" t="s">
        <v>305</v>
      </c>
      <c r="D6" s="1048"/>
      <c r="E6" s="1042" t="s">
        <v>64</v>
      </c>
      <c r="F6" s="1043"/>
      <c r="G6" s="1045" t="s">
        <v>146</v>
      </c>
    </row>
    <row r="7" spans="1:8" s="482" customFormat="1" ht="21" customHeight="1">
      <c r="A7" s="474" t="s">
        <v>318</v>
      </c>
      <c r="B7" s="488" t="s">
        <v>156</v>
      </c>
      <c r="C7" s="1049"/>
      <c r="D7" s="1050"/>
      <c r="E7" s="475" t="s">
        <v>1099</v>
      </c>
      <c r="F7" s="488" t="s">
        <v>156</v>
      </c>
      <c r="G7" s="1046"/>
    </row>
    <row r="8" spans="1:8" s="482" customFormat="1" ht="22.15" customHeight="1">
      <c r="A8" s="964">
        <f>SUM(A9:A10)</f>
        <v>250414</v>
      </c>
      <c r="B8" s="489">
        <f>A8/$A$20*100</f>
        <v>100</v>
      </c>
      <c r="C8" s="490" t="s">
        <v>319</v>
      </c>
      <c r="D8" s="491"/>
      <c r="E8" s="965">
        <f>SUM(E9:E12)</f>
        <v>263165</v>
      </c>
      <c r="F8" s="492">
        <f>E8/$E$8*100</f>
        <v>100</v>
      </c>
      <c r="G8" s="493"/>
    </row>
    <row r="9" spans="1:8" s="482" customFormat="1" ht="22.15" customHeight="1">
      <c r="A9" s="193">
        <v>19791</v>
      </c>
      <c r="B9" s="494">
        <f>A9/$A$20*100</f>
        <v>7.9033121151373331</v>
      </c>
      <c r="C9" s="700" t="s">
        <v>361</v>
      </c>
      <c r="D9" s="495"/>
      <c r="E9" s="965">
        <f>'15.收支預計表'!D32</f>
        <v>15178</v>
      </c>
      <c r="F9" s="492">
        <f t="shared" ref="F9:F31" si="0">E9/$E$8*100</f>
        <v>5.7674842779244955</v>
      </c>
      <c r="G9" s="496" t="s">
        <v>124</v>
      </c>
    </row>
    <row r="10" spans="1:8" s="482" customFormat="1" ht="21.6" customHeight="1">
      <c r="A10" s="193">
        <v>230623</v>
      </c>
      <c r="B10" s="494">
        <f>A10/$A$20*100</f>
        <v>92.096687884862675</v>
      </c>
      <c r="C10" s="700" t="s">
        <v>1030</v>
      </c>
      <c r="D10" s="495"/>
      <c r="E10" s="498">
        <v>247987</v>
      </c>
      <c r="F10" s="499">
        <f t="shared" si="0"/>
        <v>94.232515722075505</v>
      </c>
      <c r="G10" s="496" t="s">
        <v>124</v>
      </c>
    </row>
    <row r="11" spans="1:8" s="482" customFormat="1" ht="40.15" customHeight="1">
      <c r="A11" s="193">
        <v>0</v>
      </c>
      <c r="B11" s="500">
        <v>0</v>
      </c>
      <c r="C11" s="1036" t="s">
        <v>1008</v>
      </c>
      <c r="D11" s="1037"/>
      <c r="E11" s="498">
        <v>0</v>
      </c>
      <c r="F11" s="499">
        <v>0</v>
      </c>
      <c r="G11" s="496"/>
    </row>
    <row r="12" spans="1:8" s="482" customFormat="1" ht="22.15" customHeight="1">
      <c r="A12" s="193">
        <v>0</v>
      </c>
      <c r="B12" s="500">
        <v>0</v>
      </c>
      <c r="C12" s="700" t="s">
        <v>969</v>
      </c>
      <c r="D12" s="495"/>
      <c r="E12" s="498">
        <f>SUM(E14:E17)</f>
        <v>0</v>
      </c>
      <c r="F12" s="498">
        <f t="shared" si="0"/>
        <v>0</v>
      </c>
      <c r="G12" s="496"/>
    </row>
    <row r="13" spans="1:8" s="482" customFormat="1" ht="22.15" customHeight="1">
      <c r="A13" s="193">
        <v>0</v>
      </c>
      <c r="B13" s="500">
        <v>0</v>
      </c>
      <c r="C13" s="700" t="s">
        <v>1111</v>
      </c>
      <c r="D13" s="495"/>
      <c r="E13" s="498">
        <v>0</v>
      </c>
      <c r="F13" s="498">
        <v>0</v>
      </c>
      <c r="G13" s="496"/>
    </row>
    <row r="14" spans="1:8" s="482" customFormat="1" ht="22.15" customHeight="1">
      <c r="A14" s="193">
        <v>0</v>
      </c>
      <c r="B14" s="500">
        <v>0</v>
      </c>
      <c r="C14" s="501" t="s">
        <v>320</v>
      </c>
      <c r="D14" s="502"/>
      <c r="E14" s="498">
        <f>SUM(E15:E19)</f>
        <v>0</v>
      </c>
      <c r="F14" s="498">
        <f t="shared" si="0"/>
        <v>0</v>
      </c>
      <c r="G14" s="503"/>
    </row>
    <row r="15" spans="1:8" s="482" customFormat="1" ht="22.15" customHeight="1">
      <c r="A15" s="193">
        <v>0</v>
      </c>
      <c r="B15" s="500">
        <v>0</v>
      </c>
      <c r="C15" s="497" t="s">
        <v>321</v>
      </c>
      <c r="D15" s="504"/>
      <c r="E15" s="498">
        <v>0</v>
      </c>
      <c r="F15" s="500">
        <f t="shared" si="0"/>
        <v>0</v>
      </c>
      <c r="G15" s="503"/>
    </row>
    <row r="16" spans="1:8" s="482" customFormat="1" ht="22.15" customHeight="1">
      <c r="A16" s="193">
        <v>0</v>
      </c>
      <c r="B16" s="500">
        <v>0</v>
      </c>
      <c r="C16" s="497" t="s">
        <v>322</v>
      </c>
      <c r="D16" s="504"/>
      <c r="E16" s="498">
        <v>0</v>
      </c>
      <c r="F16" s="500">
        <v>0</v>
      </c>
      <c r="G16" s="503"/>
    </row>
    <row r="17" spans="1:7" s="482" customFormat="1" ht="22.15" customHeight="1">
      <c r="A17" s="193">
        <v>0</v>
      </c>
      <c r="B17" s="500">
        <v>0</v>
      </c>
      <c r="C17" s="497" t="s">
        <v>323</v>
      </c>
      <c r="D17" s="504"/>
      <c r="E17" s="498">
        <v>0</v>
      </c>
      <c r="F17" s="500">
        <f t="shared" si="0"/>
        <v>0</v>
      </c>
      <c r="G17" s="505"/>
    </row>
    <row r="18" spans="1:7" s="482" customFormat="1" ht="22.15" customHeight="1">
      <c r="A18" s="193">
        <v>0</v>
      </c>
      <c r="B18" s="500">
        <v>0</v>
      </c>
      <c r="C18" s="497" t="s">
        <v>991</v>
      </c>
      <c r="D18" s="504"/>
      <c r="E18" s="498">
        <v>0</v>
      </c>
      <c r="F18" s="500">
        <f t="shared" si="0"/>
        <v>0</v>
      </c>
      <c r="G18" s="505"/>
    </row>
    <row r="19" spans="1:7" s="482" customFormat="1" ht="22.15" customHeight="1">
      <c r="A19" s="193">
        <v>0</v>
      </c>
      <c r="B19" s="500">
        <v>0</v>
      </c>
      <c r="C19" s="497" t="s">
        <v>324</v>
      </c>
      <c r="D19" s="504"/>
      <c r="E19" s="498">
        <v>0</v>
      </c>
      <c r="F19" s="500">
        <v>0</v>
      </c>
      <c r="G19" s="505"/>
    </row>
    <row r="20" spans="1:7" s="482" customFormat="1" ht="22.15" customHeight="1">
      <c r="A20" s="193">
        <f>A8</f>
        <v>250414</v>
      </c>
      <c r="B20" s="494">
        <v>100</v>
      </c>
      <c r="C20" s="501" t="s">
        <v>269</v>
      </c>
      <c r="D20" s="504"/>
      <c r="E20" s="965">
        <f>E8</f>
        <v>263165</v>
      </c>
      <c r="F20" s="492">
        <f t="shared" si="0"/>
        <v>100</v>
      </c>
      <c r="G20" s="506"/>
    </row>
    <row r="21" spans="1:7" s="482" customFormat="1" ht="22.15" customHeight="1">
      <c r="A21" s="193">
        <v>0</v>
      </c>
      <c r="B21" s="500">
        <v>0</v>
      </c>
      <c r="C21" s="501" t="s">
        <v>306</v>
      </c>
      <c r="D21" s="507"/>
      <c r="E21" s="498">
        <v>0</v>
      </c>
      <c r="F21" s="500">
        <f t="shared" si="0"/>
        <v>0</v>
      </c>
      <c r="G21" s="503" t="s">
        <v>157</v>
      </c>
    </row>
    <row r="22" spans="1:7" s="482" customFormat="1" ht="22.15" customHeight="1">
      <c r="A22" s="193">
        <v>0</v>
      </c>
      <c r="B22" s="500">
        <v>0</v>
      </c>
      <c r="C22" s="700" t="s">
        <v>1113</v>
      </c>
      <c r="D22" s="508"/>
      <c r="E22" s="498">
        <v>0</v>
      </c>
      <c r="F22" s="500">
        <f t="shared" si="0"/>
        <v>0</v>
      </c>
      <c r="G22" s="503"/>
    </row>
    <row r="23" spans="1:7" s="482" customFormat="1" ht="22.15" customHeight="1">
      <c r="A23" s="193">
        <v>0</v>
      </c>
      <c r="B23" s="500">
        <v>0</v>
      </c>
      <c r="C23" s="700" t="s">
        <v>1114</v>
      </c>
      <c r="D23" s="508"/>
      <c r="E23" s="498">
        <v>0</v>
      </c>
      <c r="F23" s="500">
        <f t="shared" si="0"/>
        <v>0</v>
      </c>
      <c r="G23" s="503"/>
    </row>
    <row r="24" spans="1:7" s="482" customFormat="1" ht="36" customHeight="1">
      <c r="A24" s="193">
        <v>0</v>
      </c>
      <c r="B24" s="500">
        <v>0</v>
      </c>
      <c r="C24" s="1036" t="s">
        <v>1112</v>
      </c>
      <c r="D24" s="1037"/>
      <c r="E24" s="498">
        <v>0</v>
      </c>
      <c r="F24" s="500">
        <v>0</v>
      </c>
      <c r="G24" s="503"/>
    </row>
    <row r="25" spans="1:7" s="482" customFormat="1" ht="22.15" customHeight="1">
      <c r="A25" s="193">
        <v>0</v>
      </c>
      <c r="B25" s="500">
        <v>0</v>
      </c>
      <c r="C25" s="700" t="s">
        <v>1111</v>
      </c>
      <c r="D25" s="495"/>
      <c r="E25" s="498">
        <v>0</v>
      </c>
      <c r="F25" s="498">
        <v>0</v>
      </c>
      <c r="G25" s="496"/>
    </row>
    <row r="26" spans="1:7" s="482" customFormat="1" ht="22.15" customHeight="1">
      <c r="A26" s="193">
        <v>0</v>
      </c>
      <c r="B26" s="500">
        <v>0</v>
      </c>
      <c r="C26" s="501" t="s">
        <v>307</v>
      </c>
      <c r="D26" s="508"/>
      <c r="E26" s="498">
        <v>0</v>
      </c>
      <c r="F26" s="500">
        <f t="shared" si="0"/>
        <v>0</v>
      </c>
      <c r="G26" s="503"/>
    </row>
    <row r="27" spans="1:7" s="482" customFormat="1" ht="22.15" customHeight="1">
      <c r="A27" s="193">
        <v>0</v>
      </c>
      <c r="B27" s="500">
        <v>0</v>
      </c>
      <c r="C27" s="497" t="s">
        <v>308</v>
      </c>
      <c r="D27" s="508"/>
      <c r="E27" s="498">
        <v>0</v>
      </c>
      <c r="F27" s="500">
        <f t="shared" si="0"/>
        <v>0</v>
      </c>
      <c r="G27" s="503"/>
    </row>
    <row r="28" spans="1:7" s="482" customFormat="1" ht="22.15" customHeight="1">
      <c r="A28" s="193">
        <v>0</v>
      </c>
      <c r="B28" s="500">
        <v>0</v>
      </c>
      <c r="C28" s="497" t="s">
        <v>309</v>
      </c>
      <c r="D28" s="508"/>
      <c r="E28" s="498">
        <v>0</v>
      </c>
      <c r="F28" s="500">
        <f t="shared" si="0"/>
        <v>0</v>
      </c>
      <c r="G28" s="503"/>
    </row>
    <row r="29" spans="1:7" s="482" customFormat="1" ht="22.15" customHeight="1">
      <c r="A29" s="193">
        <v>0</v>
      </c>
      <c r="B29" s="500">
        <v>0</v>
      </c>
      <c r="C29" s="497" t="s">
        <v>310</v>
      </c>
      <c r="D29" s="508"/>
      <c r="E29" s="498">
        <v>0</v>
      </c>
      <c r="F29" s="500">
        <f t="shared" si="0"/>
        <v>0</v>
      </c>
      <c r="G29" s="503"/>
    </row>
    <row r="30" spans="1:7" s="482" customFormat="1" ht="22.15" customHeight="1">
      <c r="A30" s="193">
        <v>0</v>
      </c>
      <c r="B30" s="500">
        <v>0</v>
      </c>
      <c r="C30" s="497" t="s">
        <v>1031</v>
      </c>
      <c r="D30" s="508"/>
      <c r="E30" s="498">
        <v>0</v>
      </c>
      <c r="F30" s="500">
        <f t="shared" si="0"/>
        <v>0</v>
      </c>
      <c r="G30" s="503"/>
    </row>
    <row r="31" spans="1:7" s="482" customFormat="1" ht="22.15" customHeight="1">
      <c r="A31" s="193">
        <v>0</v>
      </c>
      <c r="B31" s="500">
        <v>0</v>
      </c>
      <c r="C31" s="510" t="s">
        <v>995</v>
      </c>
      <c r="D31" s="511"/>
      <c r="E31" s="498">
        <v>0</v>
      </c>
      <c r="F31" s="500">
        <f t="shared" si="0"/>
        <v>0</v>
      </c>
      <c r="G31" s="503"/>
    </row>
    <row r="32" spans="1:7" s="482" customFormat="1" ht="22.15" customHeight="1">
      <c r="A32" s="509"/>
      <c r="B32" s="247"/>
      <c r="C32" s="510"/>
      <c r="D32" s="511"/>
      <c r="E32" s="512"/>
      <c r="F32" s="513"/>
      <c r="G32" s="503"/>
    </row>
    <row r="33" spans="1:7" s="482" customFormat="1" ht="22.15" customHeight="1">
      <c r="A33" s="509"/>
      <c r="B33" s="247"/>
      <c r="C33" s="510"/>
      <c r="D33" s="511"/>
      <c r="E33" s="512"/>
      <c r="F33" s="513"/>
      <c r="G33" s="503"/>
    </row>
    <row r="34" spans="1:7" s="482" customFormat="1" ht="22.15" customHeight="1">
      <c r="A34" s="509"/>
      <c r="B34" s="247"/>
      <c r="C34" s="510"/>
      <c r="D34" s="511"/>
      <c r="E34" s="514"/>
      <c r="F34" s="514"/>
      <c r="G34" s="503"/>
    </row>
    <row r="35" spans="1:7" s="482" customFormat="1" ht="22.15" customHeight="1">
      <c r="A35" s="509"/>
      <c r="B35" s="247"/>
      <c r="C35" s="510"/>
      <c r="D35" s="511"/>
      <c r="E35" s="514"/>
      <c r="F35" s="514"/>
      <c r="G35" s="503"/>
    </row>
    <row r="36" spans="1:7" s="482" customFormat="1" ht="22.15" hidden="1" customHeight="1">
      <c r="A36" s="509"/>
      <c r="B36" s="247"/>
      <c r="C36" s="510"/>
      <c r="D36" s="511"/>
      <c r="E36" s="514"/>
      <c r="F36" s="514"/>
      <c r="G36" s="503"/>
    </row>
    <row r="37" spans="1:7" s="482" customFormat="1" ht="22.15" customHeight="1" thickBot="1">
      <c r="A37" s="701"/>
      <c r="B37" s="480"/>
      <c r="C37" s="702"/>
      <c r="D37" s="515"/>
      <c r="E37" s="479"/>
      <c r="F37" s="479"/>
      <c r="G37" s="516"/>
    </row>
    <row r="38" spans="1:7">
      <c r="D38" s="487"/>
    </row>
  </sheetData>
  <mergeCells count="10">
    <mergeCell ref="C11:D11"/>
    <mergeCell ref="C24:D24"/>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7" orientation="portrait" blackAndWhite="1" useFirstPageNumber="1" r:id="rId1"/>
  <headerFooter scaleWithDoc="0" alignWithMargins="0">
    <oddFooter>&amp;C&amp;"Arial Unicode MS,標準"&amp;P</oddFooter>
  </headerFooter>
</worksheet>
</file>

<file path=xl/worksheets/sheet12.xml><?xml version="1.0" encoding="utf-8"?>
<worksheet xmlns="http://schemas.openxmlformats.org/spreadsheetml/2006/main" xmlns:r="http://schemas.openxmlformats.org/officeDocument/2006/relationships">
  <sheetPr codeName="Sheet13">
    <tabColor rgb="FFFFFFCC"/>
  </sheetPr>
  <dimension ref="A1:IU39"/>
  <sheetViews>
    <sheetView view="pageBreakPreview" topLeftCell="A27" zoomScaleNormal="75" zoomScaleSheetLayoutView="100" workbookViewId="0">
      <selection activeCell="C12" sqref="C12"/>
    </sheetView>
  </sheetViews>
  <sheetFormatPr defaultColWidth="9" defaultRowHeight="16.5"/>
  <cols>
    <col min="1" max="1" width="44.625" style="711" customWidth="1"/>
    <col min="2" max="2" width="17.375" style="834" customWidth="1"/>
    <col min="3" max="3" width="30" style="711" customWidth="1"/>
    <col min="4" max="4" width="10" style="821" bestFit="1" customWidth="1"/>
    <col min="5" max="6" width="9" style="821" bestFit="1"/>
    <col min="7" max="7" width="9.125" style="711" bestFit="1" customWidth="1"/>
    <col min="8" max="16384" width="9" style="711"/>
  </cols>
  <sheetData>
    <row r="1" spans="1:8" ht="25.5">
      <c r="A1" s="1039" t="s">
        <v>144</v>
      </c>
      <c r="B1" s="1039"/>
      <c r="C1" s="1039"/>
      <c r="D1" s="814"/>
      <c r="E1" s="814"/>
      <c r="F1" s="814"/>
      <c r="G1" s="487"/>
      <c r="H1" s="487"/>
    </row>
    <row r="2" spans="1:8" ht="21">
      <c r="A2" s="1040" t="s">
        <v>145</v>
      </c>
      <c r="B2" s="1040"/>
      <c r="C2" s="1040"/>
      <c r="D2" s="815"/>
      <c r="E2" s="815"/>
      <c r="F2" s="815"/>
      <c r="G2" s="485"/>
      <c r="H2" s="485"/>
    </row>
    <row r="3" spans="1:8" ht="21">
      <c r="A3" s="1041" t="s">
        <v>300</v>
      </c>
      <c r="B3" s="1041"/>
      <c r="C3" s="1041"/>
      <c r="D3" s="816"/>
      <c r="E3" s="816"/>
      <c r="F3" s="816"/>
      <c r="G3" s="770"/>
      <c r="H3" s="770"/>
    </row>
    <row r="4" spans="1:8" ht="19.5">
      <c r="A4" s="1038" t="s">
        <v>1060</v>
      </c>
      <c r="B4" s="1038"/>
      <c r="C4" s="1038"/>
      <c r="D4" s="817"/>
      <c r="E4" s="817"/>
      <c r="F4" s="817"/>
      <c r="G4" s="472"/>
      <c r="H4" s="472"/>
    </row>
    <row r="5" spans="1:8" ht="17.25" customHeight="1" thickBot="1">
      <c r="A5" s="487"/>
      <c r="B5" s="818"/>
      <c r="C5" s="473" t="s">
        <v>619</v>
      </c>
      <c r="D5" s="814"/>
      <c r="E5" s="814"/>
      <c r="F5" s="814"/>
      <c r="G5" s="487"/>
      <c r="H5" s="487"/>
    </row>
    <row r="6" spans="1:8" ht="21" customHeight="1">
      <c r="A6" s="1053" t="s">
        <v>1032</v>
      </c>
      <c r="B6" s="1055" t="s">
        <v>1033</v>
      </c>
      <c r="C6" s="1045" t="s">
        <v>1034</v>
      </c>
      <c r="D6" s="819"/>
      <c r="E6" s="817"/>
      <c r="F6" s="817"/>
      <c r="G6" s="482"/>
      <c r="H6" s="482"/>
    </row>
    <row r="7" spans="1:8" ht="21" customHeight="1">
      <c r="A7" s="1054"/>
      <c r="B7" s="1056"/>
      <c r="C7" s="1046"/>
      <c r="D7" s="820"/>
    </row>
    <row r="8" spans="1:8" ht="25.15" customHeight="1">
      <c r="A8" s="806" t="s">
        <v>325</v>
      </c>
      <c r="B8" s="822"/>
      <c r="C8" s="801"/>
      <c r="D8" s="820"/>
    </row>
    <row r="9" spans="1:8" s="478" customFormat="1" ht="25.15" customHeight="1">
      <c r="A9" s="234" t="s">
        <v>1035</v>
      </c>
      <c r="B9" s="823">
        <f>'15.收支預計表'!D32</f>
        <v>15178</v>
      </c>
      <c r="C9" s="801"/>
      <c r="D9" s="824"/>
      <c r="E9" s="825"/>
      <c r="F9" s="825"/>
    </row>
    <row r="10" spans="1:8" s="478" customFormat="1" ht="25.15" customHeight="1">
      <c r="A10" s="234" t="s">
        <v>971</v>
      </c>
      <c r="B10" s="823">
        <v>-2550</v>
      </c>
      <c r="C10" s="801" t="s">
        <v>1078</v>
      </c>
      <c r="D10" s="824"/>
      <c r="E10" s="825"/>
      <c r="F10" s="825"/>
    </row>
    <row r="11" spans="1:8" s="478" customFormat="1" ht="25.15" customHeight="1">
      <c r="A11" s="234" t="s">
        <v>1024</v>
      </c>
      <c r="B11" s="823">
        <f>B9+B10</f>
        <v>12628</v>
      </c>
      <c r="C11" s="801"/>
      <c r="D11" s="824"/>
      <c r="E11" s="825"/>
      <c r="F11" s="825"/>
    </row>
    <row r="12" spans="1:8" s="478" customFormat="1" ht="107.25" customHeight="1">
      <c r="A12" s="234" t="s">
        <v>979</v>
      </c>
      <c r="B12" s="823">
        <f>SUM(B13,B14,B15,B16,B17)</f>
        <v>31464</v>
      </c>
      <c r="C12" s="803" t="s">
        <v>1059</v>
      </c>
      <c r="D12" s="824" t="s">
        <v>301</v>
      </c>
      <c r="E12" s="825" t="s">
        <v>302</v>
      </c>
      <c r="F12" s="825" t="s">
        <v>303</v>
      </c>
      <c r="G12" s="478" t="s">
        <v>304</v>
      </c>
    </row>
    <row r="13" spans="1:8" s="478" customFormat="1" ht="25.15" hidden="1" customHeight="1">
      <c r="A13" s="802" t="s">
        <v>1036</v>
      </c>
      <c r="B13" s="966">
        <f>'40-41.各項費用彙計表(7級) '!E74</f>
        <v>15994</v>
      </c>
      <c r="C13" s="803"/>
      <c r="D13" s="824">
        <v>17641</v>
      </c>
      <c r="E13" s="825">
        <v>1099</v>
      </c>
      <c r="F13" s="825">
        <v>2369</v>
      </c>
      <c r="G13" s="678">
        <f>SUM(D13:F13)</f>
        <v>21109</v>
      </c>
    </row>
    <row r="14" spans="1:8" s="478" customFormat="1" ht="25.15" hidden="1" customHeight="1">
      <c r="A14" s="802" t="s">
        <v>328</v>
      </c>
      <c r="B14" s="966">
        <f>'40-41.各項費用彙計表(7級) '!E78</f>
        <v>14006</v>
      </c>
      <c r="C14" s="803"/>
      <c r="D14" s="824"/>
      <c r="E14" s="825"/>
      <c r="F14" s="825"/>
    </row>
    <row r="15" spans="1:8" s="478" customFormat="1" ht="25.15" hidden="1" customHeight="1">
      <c r="A15" s="802" t="s">
        <v>311</v>
      </c>
      <c r="B15" s="966">
        <f>-('37.預計平衡表'!E13+'37.預計平衡表'!E16)</f>
        <v>2951</v>
      </c>
      <c r="C15" s="804"/>
      <c r="D15" s="824"/>
      <c r="E15" s="825"/>
      <c r="F15" s="825"/>
    </row>
    <row r="16" spans="1:8" s="478" customFormat="1" ht="25.15" hidden="1" customHeight="1">
      <c r="A16" s="802" t="s">
        <v>329</v>
      </c>
      <c r="B16" s="966">
        <f>'37.預計平衡表'!E38</f>
        <v>-1197</v>
      </c>
      <c r="C16" s="804"/>
      <c r="D16" s="824"/>
      <c r="E16" s="825"/>
      <c r="F16" s="825"/>
    </row>
    <row r="17" spans="1:255" s="478" customFormat="1" ht="30.6" hidden="1" customHeight="1">
      <c r="A17" s="805" t="s">
        <v>1037</v>
      </c>
      <c r="B17" s="966">
        <v>-290</v>
      </c>
      <c r="C17" s="804"/>
      <c r="D17" s="824"/>
      <c r="E17" s="825"/>
      <c r="F17" s="825"/>
    </row>
    <row r="18" spans="1:255" s="478" customFormat="1" ht="25.15" customHeight="1">
      <c r="A18" s="768" t="s">
        <v>1025</v>
      </c>
      <c r="B18" s="823">
        <f>B11+B12</f>
        <v>44092</v>
      </c>
      <c r="C18" s="804"/>
      <c r="D18" s="824"/>
      <c r="E18" s="825"/>
      <c r="F18" s="825"/>
    </row>
    <row r="19" spans="1:255" s="478" customFormat="1" ht="25.15" customHeight="1">
      <c r="A19" s="768" t="s">
        <v>972</v>
      </c>
      <c r="B19" s="823">
        <v>2550</v>
      </c>
      <c r="C19" s="804"/>
      <c r="D19" s="824"/>
      <c r="E19" s="825"/>
      <c r="F19" s="825"/>
    </row>
    <row r="20" spans="1:255" s="478" customFormat="1" ht="25.15" customHeight="1">
      <c r="A20" s="806" t="s">
        <v>1038</v>
      </c>
      <c r="B20" s="823">
        <f>B18+B19</f>
        <v>46642</v>
      </c>
      <c r="C20" s="503"/>
      <c r="D20" s="824"/>
      <c r="E20" s="825"/>
      <c r="F20" s="825"/>
    </row>
    <row r="21" spans="1:255" s="478" customFormat="1" ht="25.15" customHeight="1">
      <c r="A21" s="807" t="s">
        <v>684</v>
      </c>
      <c r="B21" s="823"/>
      <c r="C21" s="801"/>
      <c r="D21" s="824"/>
      <c r="E21" s="825"/>
      <c r="F21" s="825"/>
    </row>
    <row r="22" spans="1:255" s="478" customFormat="1" ht="25.15" hidden="1" customHeight="1">
      <c r="A22" s="768" t="s">
        <v>974</v>
      </c>
      <c r="B22" s="823">
        <f>B23</f>
        <v>0</v>
      </c>
      <c r="C22" s="801" t="s">
        <v>1039</v>
      </c>
      <c r="D22" s="824"/>
      <c r="E22" s="825"/>
      <c r="F22" s="825"/>
    </row>
    <row r="23" spans="1:255" s="478" customFormat="1" ht="25.15" hidden="1" customHeight="1">
      <c r="A23" s="768" t="s">
        <v>986</v>
      </c>
      <c r="B23" s="823">
        <v>0</v>
      </c>
      <c r="C23" s="801"/>
      <c r="D23" s="824"/>
      <c r="E23" s="825"/>
      <c r="F23" s="825"/>
    </row>
    <row r="24" spans="1:255" s="478" customFormat="1" ht="39" customHeight="1">
      <c r="A24" s="768" t="s">
        <v>1040</v>
      </c>
      <c r="B24" s="823">
        <f>SUM(B25)</f>
        <v>-17495</v>
      </c>
      <c r="C24" s="808" t="s">
        <v>1079</v>
      </c>
      <c r="D24" s="824"/>
      <c r="E24" s="825"/>
      <c r="F24" s="825"/>
    </row>
    <row r="25" spans="1:255" s="478" customFormat="1" ht="32.450000000000003" hidden="1" customHeight="1">
      <c r="A25" s="768" t="s">
        <v>973</v>
      </c>
      <c r="B25" s="823">
        <f>-19295+1800</f>
        <v>-17495</v>
      </c>
      <c r="C25" s="808" t="s">
        <v>1079</v>
      </c>
      <c r="D25" s="824">
        <v>20877</v>
      </c>
      <c r="E25" s="825"/>
      <c r="F25" s="825">
        <v>2709</v>
      </c>
      <c r="G25" s="678">
        <v>23586</v>
      </c>
    </row>
    <row r="26" spans="1:255" s="478" customFormat="1" ht="25.15" hidden="1" customHeight="1">
      <c r="A26" s="768"/>
      <c r="B26" s="823"/>
      <c r="C26" s="808"/>
      <c r="D26" s="824"/>
      <c r="E26" s="825"/>
      <c r="F26" s="825"/>
      <c r="G26" s="678"/>
    </row>
    <row r="27" spans="1:255" s="828" customFormat="1" ht="25.15" customHeight="1">
      <c r="A27" s="768" t="s">
        <v>984</v>
      </c>
      <c r="B27" s="823">
        <f>B28</f>
        <v>-11420</v>
      </c>
      <c r="C27" s="809" t="s">
        <v>1029</v>
      </c>
      <c r="D27" s="826"/>
      <c r="E27" s="826"/>
      <c r="F27" s="826"/>
      <c r="G27" s="827"/>
      <c r="H27" s="827"/>
      <c r="I27" s="827"/>
      <c r="J27" s="827"/>
      <c r="K27" s="827"/>
      <c r="L27" s="827"/>
      <c r="M27" s="827"/>
      <c r="N27" s="827"/>
      <c r="O27" s="827"/>
      <c r="P27" s="827"/>
      <c r="Q27" s="827"/>
      <c r="R27" s="827"/>
      <c r="S27" s="827"/>
      <c r="T27" s="827"/>
      <c r="U27" s="827"/>
      <c r="V27" s="827"/>
      <c r="W27" s="827"/>
      <c r="X27" s="827"/>
      <c r="Y27" s="827"/>
      <c r="Z27" s="827"/>
      <c r="AA27" s="827"/>
      <c r="AB27" s="827"/>
      <c r="AC27" s="827"/>
      <c r="AD27" s="827"/>
      <c r="AE27" s="827"/>
      <c r="AF27" s="827"/>
      <c r="AG27" s="827"/>
      <c r="AH27" s="827"/>
      <c r="AI27" s="827"/>
      <c r="AJ27" s="827"/>
      <c r="AK27" s="827"/>
      <c r="AL27" s="827"/>
      <c r="AM27" s="827"/>
      <c r="AN27" s="827"/>
      <c r="AO27" s="827"/>
      <c r="AP27" s="827"/>
      <c r="AQ27" s="827"/>
      <c r="AR27" s="827"/>
      <c r="AS27" s="827"/>
      <c r="AT27" s="827"/>
      <c r="AU27" s="827"/>
      <c r="AV27" s="827"/>
      <c r="AW27" s="827"/>
      <c r="AX27" s="827"/>
      <c r="AY27" s="827"/>
      <c r="AZ27" s="827"/>
      <c r="BA27" s="827"/>
      <c r="BB27" s="827"/>
      <c r="BC27" s="827"/>
      <c r="BD27" s="827"/>
      <c r="BE27" s="827"/>
      <c r="BF27" s="827"/>
      <c r="BG27" s="827"/>
      <c r="BH27" s="827"/>
      <c r="BI27" s="827"/>
      <c r="BJ27" s="827"/>
      <c r="BK27" s="827"/>
      <c r="BL27" s="827"/>
      <c r="BM27" s="827"/>
      <c r="BN27" s="827"/>
      <c r="BO27" s="827"/>
      <c r="BP27" s="827"/>
      <c r="BQ27" s="827"/>
      <c r="BR27" s="827"/>
      <c r="BS27" s="827"/>
      <c r="BT27" s="827"/>
      <c r="BU27" s="827"/>
      <c r="BV27" s="827"/>
      <c r="BW27" s="827"/>
      <c r="BX27" s="827"/>
      <c r="BY27" s="827"/>
      <c r="BZ27" s="827"/>
      <c r="CA27" s="827"/>
      <c r="CB27" s="827"/>
      <c r="CC27" s="827"/>
      <c r="CD27" s="827"/>
      <c r="CE27" s="827"/>
      <c r="CF27" s="827"/>
      <c r="CG27" s="827"/>
      <c r="CH27" s="827"/>
      <c r="CI27" s="827"/>
      <c r="CJ27" s="827"/>
      <c r="CK27" s="827"/>
      <c r="CL27" s="827"/>
      <c r="CM27" s="827"/>
      <c r="CN27" s="827"/>
      <c r="CO27" s="827"/>
      <c r="CP27" s="827"/>
      <c r="CQ27" s="827"/>
      <c r="CR27" s="827"/>
      <c r="CS27" s="827"/>
      <c r="CT27" s="827"/>
      <c r="CU27" s="827"/>
      <c r="CV27" s="827"/>
      <c r="CW27" s="827"/>
      <c r="CX27" s="827"/>
      <c r="CY27" s="827"/>
      <c r="CZ27" s="827"/>
      <c r="DA27" s="827"/>
      <c r="DB27" s="827"/>
      <c r="DC27" s="827"/>
      <c r="DD27" s="827"/>
      <c r="DE27" s="827"/>
      <c r="DF27" s="827"/>
      <c r="DG27" s="827"/>
      <c r="DH27" s="827"/>
      <c r="DI27" s="827"/>
      <c r="DJ27" s="827"/>
      <c r="DK27" s="827"/>
      <c r="DL27" s="827"/>
      <c r="DM27" s="827"/>
      <c r="DN27" s="827"/>
      <c r="DO27" s="827"/>
      <c r="DP27" s="827"/>
      <c r="DQ27" s="827"/>
      <c r="DR27" s="827"/>
      <c r="DS27" s="827"/>
      <c r="DT27" s="827"/>
      <c r="DU27" s="827"/>
      <c r="DV27" s="827"/>
      <c r="DW27" s="827"/>
      <c r="DX27" s="827"/>
      <c r="DY27" s="827"/>
      <c r="DZ27" s="827"/>
      <c r="EA27" s="827"/>
      <c r="EB27" s="827"/>
      <c r="EC27" s="827"/>
      <c r="ED27" s="827"/>
      <c r="EE27" s="827"/>
      <c r="EF27" s="827"/>
      <c r="EG27" s="827"/>
      <c r="EH27" s="827"/>
      <c r="EI27" s="827"/>
      <c r="EJ27" s="827"/>
      <c r="EK27" s="827"/>
      <c r="EL27" s="827"/>
      <c r="EM27" s="827"/>
      <c r="EN27" s="827"/>
      <c r="EO27" s="827"/>
      <c r="EP27" s="827"/>
      <c r="EQ27" s="827"/>
      <c r="ER27" s="827"/>
      <c r="ES27" s="827"/>
      <c r="ET27" s="827"/>
      <c r="EU27" s="827"/>
      <c r="EV27" s="827"/>
      <c r="EW27" s="827"/>
      <c r="EX27" s="827"/>
      <c r="EY27" s="827"/>
      <c r="EZ27" s="827"/>
      <c r="FA27" s="827"/>
      <c r="FB27" s="827"/>
      <c r="FC27" s="827"/>
      <c r="FD27" s="827"/>
      <c r="FE27" s="827"/>
      <c r="FF27" s="827"/>
      <c r="FG27" s="827"/>
      <c r="FH27" s="827"/>
      <c r="FI27" s="827"/>
      <c r="FJ27" s="827"/>
      <c r="FK27" s="827"/>
      <c r="FL27" s="827"/>
      <c r="FM27" s="827"/>
      <c r="FN27" s="827"/>
      <c r="FO27" s="827"/>
      <c r="FP27" s="827"/>
      <c r="FQ27" s="827"/>
      <c r="FR27" s="827"/>
      <c r="FS27" s="827"/>
      <c r="FT27" s="827"/>
      <c r="FU27" s="827"/>
      <c r="FV27" s="827"/>
      <c r="FW27" s="827"/>
      <c r="FX27" s="827"/>
      <c r="FY27" s="827"/>
      <c r="FZ27" s="827"/>
      <c r="GA27" s="827"/>
      <c r="GB27" s="827"/>
      <c r="GC27" s="827"/>
      <c r="GD27" s="827"/>
      <c r="GE27" s="827"/>
      <c r="GF27" s="827"/>
      <c r="GG27" s="827"/>
      <c r="GH27" s="827"/>
      <c r="GI27" s="827"/>
      <c r="GJ27" s="827"/>
      <c r="GK27" s="827"/>
      <c r="GL27" s="827"/>
      <c r="GM27" s="827"/>
      <c r="GN27" s="827"/>
      <c r="GO27" s="827"/>
      <c r="GP27" s="827"/>
      <c r="GQ27" s="827"/>
      <c r="GR27" s="827"/>
      <c r="GS27" s="827"/>
      <c r="GT27" s="827"/>
      <c r="GU27" s="827"/>
      <c r="GV27" s="827"/>
      <c r="GW27" s="827"/>
      <c r="GX27" s="827"/>
      <c r="GY27" s="827"/>
      <c r="GZ27" s="827"/>
      <c r="HA27" s="827"/>
      <c r="HB27" s="827"/>
      <c r="HC27" s="827"/>
      <c r="HD27" s="827"/>
      <c r="HE27" s="827"/>
      <c r="HF27" s="827"/>
      <c r="HG27" s="827"/>
      <c r="HH27" s="827"/>
      <c r="HI27" s="827"/>
      <c r="HJ27" s="827"/>
      <c r="HK27" s="827"/>
      <c r="HL27" s="827"/>
      <c r="HM27" s="827"/>
      <c r="HN27" s="827"/>
      <c r="HO27" s="827"/>
      <c r="HP27" s="827"/>
      <c r="HQ27" s="827"/>
      <c r="HR27" s="827"/>
      <c r="HS27" s="827"/>
      <c r="HT27" s="827"/>
      <c r="HU27" s="827"/>
      <c r="HV27" s="827"/>
      <c r="HW27" s="827"/>
      <c r="HX27" s="827"/>
      <c r="HY27" s="827"/>
      <c r="HZ27" s="827"/>
      <c r="IA27" s="827"/>
      <c r="IB27" s="827"/>
      <c r="IC27" s="827"/>
      <c r="ID27" s="827"/>
      <c r="IE27" s="827"/>
      <c r="IF27" s="827"/>
      <c r="IG27" s="827"/>
      <c r="IH27" s="827"/>
      <c r="II27" s="827"/>
      <c r="IJ27" s="827"/>
      <c r="IK27" s="827"/>
      <c r="IL27" s="827"/>
      <c r="IM27" s="827"/>
      <c r="IN27" s="827"/>
      <c r="IO27" s="827"/>
      <c r="IP27" s="827"/>
      <c r="IQ27" s="827"/>
      <c r="IR27" s="827"/>
      <c r="IS27" s="827"/>
      <c r="IT27" s="827"/>
      <c r="IU27" s="827"/>
    </row>
    <row r="28" spans="1:255" s="828" customFormat="1" ht="25.15" hidden="1" customHeight="1">
      <c r="A28" s="768" t="s">
        <v>985</v>
      </c>
      <c r="B28" s="823">
        <v>-11420</v>
      </c>
      <c r="C28" s="809" t="s">
        <v>1029</v>
      </c>
      <c r="D28" s="826">
        <v>18857</v>
      </c>
      <c r="E28" s="826"/>
      <c r="F28" s="826"/>
      <c r="G28" s="827"/>
      <c r="H28" s="827"/>
      <c r="I28" s="827"/>
      <c r="J28" s="827"/>
      <c r="K28" s="827"/>
      <c r="L28" s="827"/>
      <c r="M28" s="827"/>
      <c r="N28" s="827"/>
      <c r="O28" s="827"/>
      <c r="P28" s="827"/>
      <c r="Q28" s="827"/>
      <c r="R28" s="827"/>
      <c r="S28" s="827"/>
      <c r="T28" s="827"/>
      <c r="U28" s="827"/>
      <c r="V28" s="827"/>
      <c r="W28" s="827"/>
      <c r="X28" s="827"/>
      <c r="Y28" s="827"/>
      <c r="Z28" s="827"/>
      <c r="AA28" s="827"/>
      <c r="AB28" s="827"/>
      <c r="AC28" s="827"/>
      <c r="AD28" s="827"/>
      <c r="AE28" s="827"/>
      <c r="AF28" s="827"/>
      <c r="AG28" s="827"/>
      <c r="AH28" s="827"/>
      <c r="AI28" s="827"/>
      <c r="AJ28" s="827"/>
      <c r="AK28" s="827"/>
      <c r="AL28" s="827"/>
      <c r="AM28" s="827"/>
      <c r="AN28" s="827"/>
      <c r="AO28" s="827"/>
      <c r="AP28" s="827"/>
      <c r="AQ28" s="827"/>
      <c r="AR28" s="827"/>
      <c r="AS28" s="827"/>
      <c r="AT28" s="827"/>
      <c r="AU28" s="827"/>
      <c r="AV28" s="827"/>
      <c r="AW28" s="827"/>
      <c r="AX28" s="827"/>
      <c r="AY28" s="827"/>
      <c r="AZ28" s="827"/>
      <c r="BA28" s="827"/>
      <c r="BB28" s="827"/>
      <c r="BC28" s="827"/>
      <c r="BD28" s="827"/>
      <c r="BE28" s="827"/>
      <c r="BF28" s="827"/>
      <c r="BG28" s="827"/>
      <c r="BH28" s="827"/>
      <c r="BI28" s="827"/>
      <c r="BJ28" s="827"/>
      <c r="BK28" s="827"/>
      <c r="BL28" s="827"/>
      <c r="BM28" s="827"/>
      <c r="BN28" s="827"/>
      <c r="BO28" s="827"/>
      <c r="BP28" s="827"/>
      <c r="BQ28" s="827"/>
      <c r="BR28" s="827"/>
      <c r="BS28" s="827"/>
      <c r="BT28" s="827"/>
      <c r="BU28" s="827"/>
      <c r="BV28" s="827"/>
      <c r="BW28" s="827"/>
      <c r="BX28" s="827"/>
      <c r="BY28" s="827"/>
      <c r="BZ28" s="827"/>
      <c r="CA28" s="827"/>
      <c r="CB28" s="827"/>
      <c r="CC28" s="827"/>
      <c r="CD28" s="827"/>
      <c r="CE28" s="827"/>
      <c r="CF28" s="827"/>
      <c r="CG28" s="827"/>
      <c r="CH28" s="827"/>
      <c r="CI28" s="827"/>
      <c r="CJ28" s="827"/>
      <c r="CK28" s="827"/>
      <c r="CL28" s="827"/>
      <c r="CM28" s="827"/>
      <c r="CN28" s="827"/>
      <c r="CO28" s="827"/>
      <c r="CP28" s="827"/>
      <c r="CQ28" s="827"/>
      <c r="CR28" s="827"/>
      <c r="CS28" s="827"/>
      <c r="CT28" s="827"/>
      <c r="CU28" s="827"/>
      <c r="CV28" s="827"/>
      <c r="CW28" s="827"/>
      <c r="CX28" s="827"/>
      <c r="CY28" s="827"/>
      <c r="CZ28" s="827"/>
      <c r="DA28" s="827"/>
      <c r="DB28" s="827"/>
      <c r="DC28" s="827"/>
      <c r="DD28" s="827"/>
      <c r="DE28" s="827"/>
      <c r="DF28" s="827"/>
      <c r="DG28" s="827"/>
      <c r="DH28" s="827"/>
      <c r="DI28" s="827"/>
      <c r="DJ28" s="827"/>
      <c r="DK28" s="827"/>
      <c r="DL28" s="827"/>
      <c r="DM28" s="827"/>
      <c r="DN28" s="827"/>
      <c r="DO28" s="827"/>
      <c r="DP28" s="827"/>
      <c r="DQ28" s="827"/>
      <c r="DR28" s="827"/>
      <c r="DS28" s="827"/>
      <c r="DT28" s="827"/>
      <c r="DU28" s="827"/>
      <c r="DV28" s="827"/>
      <c r="DW28" s="827"/>
      <c r="DX28" s="827"/>
      <c r="DY28" s="827"/>
      <c r="DZ28" s="827"/>
      <c r="EA28" s="827"/>
      <c r="EB28" s="827"/>
      <c r="EC28" s="827"/>
      <c r="ED28" s="827"/>
      <c r="EE28" s="827"/>
      <c r="EF28" s="827"/>
      <c r="EG28" s="827"/>
      <c r="EH28" s="827"/>
      <c r="EI28" s="827"/>
      <c r="EJ28" s="827"/>
      <c r="EK28" s="827"/>
      <c r="EL28" s="827"/>
      <c r="EM28" s="827"/>
      <c r="EN28" s="827"/>
      <c r="EO28" s="827"/>
      <c r="EP28" s="827"/>
      <c r="EQ28" s="827"/>
      <c r="ER28" s="827"/>
      <c r="ES28" s="827"/>
      <c r="ET28" s="827"/>
      <c r="EU28" s="827"/>
      <c r="EV28" s="827"/>
      <c r="EW28" s="827"/>
      <c r="EX28" s="827"/>
      <c r="EY28" s="827"/>
      <c r="EZ28" s="827"/>
      <c r="FA28" s="827"/>
      <c r="FB28" s="827"/>
      <c r="FC28" s="827"/>
      <c r="FD28" s="827"/>
      <c r="FE28" s="827"/>
      <c r="FF28" s="827"/>
      <c r="FG28" s="827"/>
      <c r="FH28" s="827"/>
      <c r="FI28" s="827"/>
      <c r="FJ28" s="827"/>
      <c r="FK28" s="827"/>
      <c r="FL28" s="827"/>
      <c r="FM28" s="827"/>
      <c r="FN28" s="827"/>
      <c r="FO28" s="827"/>
      <c r="FP28" s="827"/>
      <c r="FQ28" s="827"/>
      <c r="FR28" s="827"/>
      <c r="FS28" s="827"/>
      <c r="FT28" s="827"/>
      <c r="FU28" s="827"/>
      <c r="FV28" s="827"/>
      <c r="FW28" s="827"/>
      <c r="FX28" s="827"/>
      <c r="FY28" s="827"/>
      <c r="FZ28" s="827"/>
      <c r="GA28" s="827"/>
      <c r="GB28" s="827"/>
      <c r="GC28" s="827"/>
      <c r="GD28" s="827"/>
      <c r="GE28" s="827"/>
      <c r="GF28" s="827"/>
      <c r="GG28" s="827"/>
      <c r="GH28" s="827"/>
      <c r="GI28" s="827"/>
      <c r="GJ28" s="827"/>
      <c r="GK28" s="827"/>
      <c r="GL28" s="827"/>
      <c r="GM28" s="827"/>
      <c r="GN28" s="827"/>
      <c r="GO28" s="827"/>
      <c r="GP28" s="827"/>
      <c r="GQ28" s="827"/>
      <c r="GR28" s="827"/>
      <c r="GS28" s="827"/>
      <c r="GT28" s="827"/>
      <c r="GU28" s="827"/>
      <c r="GV28" s="827"/>
      <c r="GW28" s="827"/>
      <c r="GX28" s="827"/>
      <c r="GY28" s="827"/>
      <c r="GZ28" s="827"/>
      <c r="HA28" s="827"/>
      <c r="HB28" s="827"/>
      <c r="HC28" s="827"/>
      <c r="HD28" s="827"/>
      <c r="HE28" s="827"/>
      <c r="HF28" s="827"/>
      <c r="HG28" s="827"/>
      <c r="HH28" s="827"/>
      <c r="HI28" s="827"/>
      <c r="HJ28" s="827"/>
      <c r="HK28" s="827"/>
      <c r="HL28" s="827"/>
      <c r="HM28" s="827"/>
      <c r="HN28" s="827"/>
      <c r="HO28" s="827"/>
      <c r="HP28" s="827"/>
      <c r="HQ28" s="827"/>
      <c r="HR28" s="827"/>
      <c r="HS28" s="827"/>
      <c r="HT28" s="827"/>
      <c r="HU28" s="827"/>
      <c r="HV28" s="827"/>
      <c r="HW28" s="827"/>
      <c r="HX28" s="827"/>
      <c r="HY28" s="827"/>
      <c r="HZ28" s="827"/>
      <c r="IA28" s="827"/>
      <c r="IB28" s="827"/>
      <c r="IC28" s="827"/>
      <c r="ID28" s="827"/>
      <c r="IE28" s="827"/>
      <c r="IF28" s="827"/>
      <c r="IG28" s="827"/>
      <c r="IH28" s="827"/>
      <c r="II28" s="827"/>
      <c r="IJ28" s="827"/>
      <c r="IK28" s="827"/>
      <c r="IL28" s="827"/>
      <c r="IM28" s="827"/>
      <c r="IN28" s="827"/>
      <c r="IO28" s="827"/>
      <c r="IP28" s="827"/>
      <c r="IQ28" s="827"/>
      <c r="IR28" s="827"/>
      <c r="IS28" s="827"/>
      <c r="IT28" s="827"/>
      <c r="IU28" s="827"/>
    </row>
    <row r="29" spans="1:255" s="478" customFormat="1" ht="25.15" customHeight="1">
      <c r="A29" s="807" t="s">
        <v>1026</v>
      </c>
      <c r="B29" s="822">
        <f>B22+B24+B27</f>
        <v>-28915</v>
      </c>
      <c r="C29" s="503"/>
      <c r="D29" s="826"/>
      <c r="E29" s="826"/>
      <c r="F29" s="826"/>
      <c r="G29" s="827"/>
      <c r="H29" s="827"/>
      <c r="I29" s="827"/>
      <c r="J29" s="827"/>
      <c r="K29" s="827"/>
      <c r="L29" s="827"/>
      <c r="M29" s="827"/>
      <c r="N29" s="827"/>
      <c r="O29" s="827"/>
      <c r="P29" s="827"/>
      <c r="Q29" s="827"/>
      <c r="R29" s="827"/>
      <c r="S29" s="827"/>
      <c r="T29" s="827"/>
      <c r="U29" s="827"/>
      <c r="V29" s="827"/>
      <c r="W29" s="827"/>
      <c r="X29" s="827"/>
      <c r="Y29" s="827"/>
      <c r="Z29" s="827"/>
      <c r="AA29" s="827"/>
      <c r="AB29" s="827"/>
      <c r="AC29" s="827"/>
      <c r="AD29" s="827"/>
      <c r="AE29" s="827"/>
      <c r="AF29" s="827"/>
      <c r="AG29" s="827"/>
      <c r="AH29" s="827"/>
      <c r="AI29" s="827"/>
      <c r="AJ29" s="827"/>
      <c r="AK29" s="827"/>
      <c r="AL29" s="827"/>
      <c r="AM29" s="827"/>
      <c r="AN29" s="827"/>
      <c r="AO29" s="827"/>
      <c r="AP29" s="827"/>
      <c r="AQ29" s="827"/>
      <c r="AR29" s="827"/>
      <c r="AS29" s="827"/>
      <c r="AT29" s="827"/>
      <c r="AU29" s="827"/>
      <c r="AV29" s="827"/>
      <c r="AW29" s="827"/>
      <c r="AX29" s="827"/>
      <c r="AY29" s="827"/>
      <c r="AZ29" s="827"/>
      <c r="BA29" s="827"/>
      <c r="BB29" s="827"/>
      <c r="BC29" s="827"/>
      <c r="BD29" s="827"/>
      <c r="BE29" s="827"/>
      <c r="BF29" s="827"/>
      <c r="BG29" s="827"/>
      <c r="BH29" s="827"/>
      <c r="BI29" s="827"/>
      <c r="BJ29" s="827"/>
      <c r="BK29" s="827"/>
      <c r="BL29" s="827"/>
      <c r="BM29" s="827"/>
      <c r="BN29" s="827"/>
      <c r="BO29" s="827"/>
      <c r="BP29" s="827"/>
      <c r="BQ29" s="827"/>
      <c r="BR29" s="827"/>
      <c r="BS29" s="827"/>
      <c r="BT29" s="827"/>
      <c r="BU29" s="827"/>
      <c r="BV29" s="827"/>
      <c r="BW29" s="827"/>
      <c r="BX29" s="827"/>
      <c r="BY29" s="827"/>
      <c r="BZ29" s="827"/>
      <c r="CA29" s="827"/>
      <c r="CB29" s="827"/>
      <c r="CC29" s="827"/>
      <c r="CD29" s="827"/>
      <c r="CE29" s="827"/>
      <c r="CF29" s="827"/>
      <c r="CG29" s="827"/>
      <c r="CH29" s="827"/>
      <c r="CI29" s="827"/>
      <c r="CJ29" s="827"/>
      <c r="CK29" s="827"/>
      <c r="CL29" s="827"/>
      <c r="CM29" s="827"/>
      <c r="CN29" s="827"/>
      <c r="CO29" s="827"/>
      <c r="CP29" s="827"/>
      <c r="CQ29" s="827"/>
      <c r="CR29" s="827"/>
      <c r="CS29" s="827"/>
      <c r="CT29" s="827"/>
      <c r="CU29" s="827"/>
      <c r="CV29" s="827"/>
      <c r="CW29" s="827"/>
      <c r="CX29" s="827"/>
      <c r="CY29" s="827"/>
      <c r="CZ29" s="827"/>
      <c r="DA29" s="827"/>
      <c r="DB29" s="827"/>
      <c r="DC29" s="827"/>
      <c r="DD29" s="827"/>
      <c r="DE29" s="827"/>
      <c r="DF29" s="827"/>
      <c r="DG29" s="827"/>
      <c r="DH29" s="827"/>
      <c r="DI29" s="827"/>
      <c r="DJ29" s="827"/>
      <c r="DK29" s="827"/>
      <c r="DL29" s="827"/>
      <c r="DM29" s="827"/>
      <c r="DN29" s="827"/>
      <c r="DO29" s="827"/>
      <c r="DP29" s="827"/>
      <c r="DQ29" s="827"/>
      <c r="DR29" s="827"/>
      <c r="DS29" s="827"/>
      <c r="DT29" s="827"/>
      <c r="DU29" s="827"/>
      <c r="DV29" s="827"/>
      <c r="DW29" s="827"/>
      <c r="DX29" s="827"/>
      <c r="DY29" s="827"/>
      <c r="DZ29" s="827"/>
      <c r="EA29" s="827"/>
      <c r="EB29" s="827"/>
      <c r="EC29" s="827"/>
      <c r="ED29" s="827"/>
      <c r="EE29" s="827"/>
      <c r="EF29" s="827"/>
      <c r="EG29" s="827"/>
      <c r="EH29" s="827"/>
      <c r="EI29" s="827"/>
      <c r="EJ29" s="827"/>
      <c r="EK29" s="827"/>
      <c r="EL29" s="827"/>
      <c r="EM29" s="827"/>
      <c r="EN29" s="827"/>
      <c r="EO29" s="827"/>
      <c r="EP29" s="827"/>
      <c r="EQ29" s="827"/>
      <c r="ER29" s="827"/>
      <c r="ES29" s="827"/>
      <c r="ET29" s="827"/>
      <c r="EU29" s="827"/>
      <c r="EV29" s="827"/>
      <c r="EW29" s="827"/>
      <c r="EX29" s="827"/>
      <c r="EY29" s="827"/>
      <c r="EZ29" s="827"/>
      <c r="FA29" s="827"/>
      <c r="FB29" s="827"/>
      <c r="FC29" s="827"/>
      <c r="FD29" s="827"/>
      <c r="FE29" s="827"/>
      <c r="FF29" s="827"/>
      <c r="FG29" s="827"/>
      <c r="FH29" s="827"/>
      <c r="FI29" s="827"/>
      <c r="FJ29" s="827"/>
      <c r="FK29" s="827"/>
      <c r="FL29" s="827"/>
      <c r="FM29" s="827"/>
      <c r="FN29" s="827"/>
      <c r="FO29" s="827"/>
      <c r="FP29" s="827"/>
      <c r="FQ29" s="827"/>
      <c r="FR29" s="827"/>
      <c r="FS29" s="827"/>
      <c r="FT29" s="827"/>
      <c r="FU29" s="827"/>
      <c r="FV29" s="827"/>
      <c r="FW29" s="827"/>
      <c r="FX29" s="827"/>
      <c r="FY29" s="827"/>
      <c r="FZ29" s="827"/>
      <c r="GA29" s="827"/>
      <c r="GB29" s="827"/>
      <c r="GC29" s="827"/>
      <c r="GD29" s="827"/>
      <c r="GE29" s="827"/>
      <c r="GF29" s="827"/>
      <c r="GG29" s="827"/>
      <c r="GH29" s="827"/>
      <c r="GI29" s="827"/>
      <c r="GJ29" s="827"/>
      <c r="GK29" s="827"/>
      <c r="GL29" s="827"/>
      <c r="GM29" s="827"/>
      <c r="GN29" s="827"/>
      <c r="GO29" s="827"/>
      <c r="GP29" s="827"/>
      <c r="GQ29" s="827"/>
      <c r="GR29" s="827"/>
      <c r="GS29" s="827"/>
      <c r="GT29" s="827"/>
      <c r="GU29" s="827"/>
      <c r="GV29" s="827"/>
      <c r="GW29" s="827"/>
      <c r="GX29" s="827"/>
      <c r="GY29" s="827"/>
      <c r="GZ29" s="827"/>
      <c r="HA29" s="827"/>
      <c r="HB29" s="827"/>
      <c r="HC29" s="827"/>
      <c r="HD29" s="827"/>
      <c r="HE29" s="827"/>
      <c r="HF29" s="827"/>
      <c r="HG29" s="827"/>
      <c r="HH29" s="827"/>
      <c r="HI29" s="827"/>
      <c r="HJ29" s="827"/>
      <c r="HK29" s="827"/>
      <c r="HL29" s="827"/>
      <c r="HM29" s="827"/>
      <c r="HN29" s="827"/>
      <c r="HO29" s="827"/>
      <c r="HP29" s="827"/>
      <c r="HQ29" s="827"/>
      <c r="HR29" s="827"/>
      <c r="HS29" s="827"/>
      <c r="HT29" s="827"/>
      <c r="HU29" s="827"/>
      <c r="HV29" s="827"/>
      <c r="HW29" s="827"/>
      <c r="HX29" s="827"/>
      <c r="HY29" s="827"/>
      <c r="HZ29" s="827"/>
      <c r="IA29" s="827"/>
      <c r="IB29" s="827"/>
      <c r="IC29" s="827"/>
      <c r="ID29" s="827"/>
      <c r="IE29" s="827"/>
      <c r="IF29" s="827"/>
      <c r="IG29" s="827"/>
      <c r="IH29" s="827"/>
      <c r="II29" s="827"/>
      <c r="IJ29" s="827"/>
      <c r="IK29" s="827"/>
      <c r="IL29" s="827"/>
      <c r="IM29" s="827"/>
      <c r="IN29" s="827"/>
      <c r="IO29" s="827"/>
      <c r="IP29" s="827"/>
      <c r="IQ29" s="827"/>
      <c r="IR29" s="827"/>
      <c r="IS29" s="827"/>
      <c r="IT29" s="827"/>
      <c r="IU29" s="827"/>
    </row>
    <row r="30" spans="1:255" s="478" customFormat="1" ht="25.15" customHeight="1">
      <c r="A30" s="807" t="s">
        <v>1041</v>
      </c>
      <c r="B30" s="829"/>
      <c r="C30" s="503"/>
      <c r="D30" s="826"/>
      <c r="E30" s="826"/>
      <c r="F30" s="826"/>
      <c r="G30" s="827"/>
      <c r="H30" s="827"/>
      <c r="I30" s="827"/>
      <c r="J30" s="827"/>
      <c r="K30" s="827"/>
      <c r="L30" s="827"/>
      <c r="M30" s="827"/>
      <c r="N30" s="827"/>
      <c r="O30" s="827"/>
      <c r="P30" s="827"/>
      <c r="Q30" s="827"/>
      <c r="R30" s="827"/>
      <c r="S30" s="827"/>
      <c r="T30" s="827"/>
      <c r="U30" s="827"/>
      <c r="V30" s="827"/>
      <c r="W30" s="827"/>
      <c r="X30" s="827"/>
      <c r="Y30" s="827"/>
      <c r="Z30" s="827"/>
      <c r="AA30" s="827"/>
      <c r="AB30" s="827"/>
      <c r="AC30" s="827"/>
      <c r="AD30" s="827"/>
      <c r="AE30" s="827"/>
      <c r="AF30" s="827"/>
      <c r="AG30" s="827"/>
      <c r="AH30" s="827"/>
      <c r="AI30" s="827"/>
      <c r="AJ30" s="827"/>
      <c r="AK30" s="827"/>
      <c r="AL30" s="827"/>
      <c r="AM30" s="827"/>
      <c r="AN30" s="827"/>
      <c r="AO30" s="827"/>
      <c r="AP30" s="827"/>
      <c r="AQ30" s="827"/>
      <c r="AR30" s="827"/>
      <c r="AS30" s="827"/>
      <c r="AT30" s="827"/>
      <c r="AU30" s="827"/>
      <c r="AV30" s="827"/>
      <c r="AW30" s="827"/>
      <c r="AX30" s="827"/>
      <c r="AY30" s="827"/>
      <c r="AZ30" s="827"/>
      <c r="BA30" s="827"/>
      <c r="BB30" s="827"/>
      <c r="BC30" s="827"/>
      <c r="BD30" s="827"/>
      <c r="BE30" s="827"/>
      <c r="BF30" s="827"/>
      <c r="BG30" s="827"/>
      <c r="BH30" s="827"/>
      <c r="BI30" s="827"/>
      <c r="BJ30" s="827"/>
      <c r="BK30" s="827"/>
      <c r="BL30" s="827"/>
      <c r="BM30" s="827"/>
      <c r="BN30" s="827"/>
      <c r="BO30" s="827"/>
      <c r="BP30" s="827"/>
      <c r="BQ30" s="827"/>
      <c r="BR30" s="827"/>
      <c r="BS30" s="827"/>
      <c r="BT30" s="827"/>
      <c r="BU30" s="827"/>
      <c r="BV30" s="827"/>
      <c r="BW30" s="827"/>
      <c r="BX30" s="827"/>
      <c r="BY30" s="827"/>
      <c r="BZ30" s="827"/>
      <c r="CA30" s="827"/>
      <c r="CB30" s="827"/>
      <c r="CC30" s="827"/>
      <c r="CD30" s="827"/>
      <c r="CE30" s="827"/>
      <c r="CF30" s="827"/>
      <c r="CG30" s="827"/>
      <c r="CH30" s="827"/>
      <c r="CI30" s="827"/>
      <c r="CJ30" s="827"/>
      <c r="CK30" s="827"/>
      <c r="CL30" s="827"/>
      <c r="CM30" s="827"/>
      <c r="CN30" s="827"/>
      <c r="CO30" s="827"/>
      <c r="CP30" s="827"/>
      <c r="CQ30" s="827"/>
      <c r="CR30" s="827"/>
      <c r="CS30" s="827"/>
      <c r="CT30" s="827"/>
      <c r="CU30" s="827"/>
      <c r="CV30" s="827"/>
      <c r="CW30" s="827"/>
      <c r="CX30" s="827"/>
      <c r="CY30" s="827"/>
      <c r="CZ30" s="827"/>
      <c r="DA30" s="827"/>
      <c r="DB30" s="827"/>
      <c r="DC30" s="827"/>
      <c r="DD30" s="827"/>
      <c r="DE30" s="827"/>
      <c r="DF30" s="827"/>
      <c r="DG30" s="827"/>
      <c r="DH30" s="827"/>
      <c r="DI30" s="827"/>
      <c r="DJ30" s="827"/>
      <c r="DK30" s="827"/>
      <c r="DL30" s="827"/>
      <c r="DM30" s="827"/>
      <c r="DN30" s="827"/>
      <c r="DO30" s="827"/>
      <c r="DP30" s="827"/>
      <c r="DQ30" s="827"/>
      <c r="DR30" s="827"/>
      <c r="DS30" s="827"/>
      <c r="DT30" s="827"/>
      <c r="DU30" s="827"/>
      <c r="DV30" s="827"/>
      <c r="DW30" s="827"/>
      <c r="DX30" s="827"/>
      <c r="DY30" s="827"/>
      <c r="DZ30" s="827"/>
      <c r="EA30" s="827"/>
      <c r="EB30" s="827"/>
      <c r="EC30" s="827"/>
      <c r="ED30" s="827"/>
      <c r="EE30" s="827"/>
      <c r="EF30" s="827"/>
      <c r="EG30" s="827"/>
      <c r="EH30" s="827"/>
      <c r="EI30" s="827"/>
      <c r="EJ30" s="827"/>
      <c r="EK30" s="827"/>
      <c r="EL30" s="827"/>
      <c r="EM30" s="827"/>
      <c r="EN30" s="827"/>
      <c r="EO30" s="827"/>
      <c r="EP30" s="827"/>
      <c r="EQ30" s="827"/>
      <c r="ER30" s="827"/>
      <c r="ES30" s="827"/>
      <c r="ET30" s="827"/>
      <c r="EU30" s="827"/>
      <c r="EV30" s="827"/>
      <c r="EW30" s="827"/>
      <c r="EX30" s="827"/>
      <c r="EY30" s="827"/>
      <c r="EZ30" s="827"/>
      <c r="FA30" s="827"/>
      <c r="FB30" s="827"/>
      <c r="FC30" s="827"/>
      <c r="FD30" s="827"/>
      <c r="FE30" s="827"/>
      <c r="FF30" s="827"/>
      <c r="FG30" s="827"/>
      <c r="FH30" s="827"/>
      <c r="FI30" s="827"/>
      <c r="FJ30" s="827"/>
      <c r="FK30" s="827"/>
      <c r="FL30" s="827"/>
      <c r="FM30" s="827"/>
      <c r="FN30" s="827"/>
      <c r="FO30" s="827"/>
      <c r="FP30" s="827"/>
      <c r="FQ30" s="827"/>
      <c r="FR30" s="827"/>
      <c r="FS30" s="827"/>
      <c r="FT30" s="827"/>
      <c r="FU30" s="827"/>
      <c r="FV30" s="827"/>
      <c r="FW30" s="827"/>
      <c r="FX30" s="827"/>
      <c r="FY30" s="827"/>
      <c r="FZ30" s="827"/>
      <c r="GA30" s="827"/>
      <c r="GB30" s="827"/>
      <c r="GC30" s="827"/>
      <c r="GD30" s="827"/>
      <c r="GE30" s="827"/>
      <c r="GF30" s="827"/>
      <c r="GG30" s="827"/>
      <c r="GH30" s="827"/>
      <c r="GI30" s="827"/>
      <c r="GJ30" s="827"/>
      <c r="GK30" s="827"/>
      <c r="GL30" s="827"/>
      <c r="GM30" s="827"/>
      <c r="GN30" s="827"/>
      <c r="GO30" s="827"/>
      <c r="GP30" s="827"/>
      <c r="GQ30" s="827"/>
      <c r="GR30" s="827"/>
      <c r="GS30" s="827"/>
      <c r="GT30" s="827"/>
      <c r="GU30" s="827"/>
      <c r="GV30" s="827"/>
      <c r="GW30" s="827"/>
      <c r="GX30" s="827"/>
      <c r="GY30" s="827"/>
      <c r="GZ30" s="827"/>
      <c r="HA30" s="827"/>
      <c r="HB30" s="827"/>
      <c r="HC30" s="827"/>
      <c r="HD30" s="827"/>
      <c r="HE30" s="827"/>
      <c r="HF30" s="827"/>
      <c r="HG30" s="827"/>
      <c r="HH30" s="827"/>
      <c r="HI30" s="827"/>
      <c r="HJ30" s="827"/>
      <c r="HK30" s="827"/>
      <c r="HL30" s="827"/>
      <c r="HM30" s="827"/>
      <c r="HN30" s="827"/>
      <c r="HO30" s="827"/>
      <c r="HP30" s="827"/>
      <c r="HQ30" s="827"/>
      <c r="HR30" s="827"/>
      <c r="HS30" s="827"/>
      <c r="HT30" s="827"/>
      <c r="HU30" s="827"/>
      <c r="HV30" s="827"/>
      <c r="HW30" s="827"/>
      <c r="HX30" s="827"/>
      <c r="HY30" s="827"/>
      <c r="HZ30" s="827"/>
      <c r="IA30" s="827"/>
      <c r="IB30" s="827"/>
      <c r="IC30" s="827"/>
      <c r="ID30" s="827"/>
      <c r="IE30" s="827"/>
      <c r="IF30" s="827"/>
      <c r="IG30" s="827"/>
      <c r="IH30" s="827"/>
      <c r="II30" s="827"/>
      <c r="IJ30" s="827"/>
      <c r="IK30" s="827"/>
      <c r="IL30" s="827"/>
      <c r="IM30" s="827"/>
      <c r="IN30" s="827"/>
      <c r="IO30" s="827"/>
      <c r="IP30" s="827"/>
      <c r="IQ30" s="827"/>
      <c r="IR30" s="827"/>
      <c r="IS30" s="827"/>
      <c r="IT30" s="827"/>
      <c r="IU30" s="827"/>
    </row>
    <row r="31" spans="1:255" s="478" customFormat="1" ht="25.15" customHeight="1">
      <c r="A31" s="766" t="s">
        <v>1042</v>
      </c>
      <c r="B31" s="822">
        <v>1425</v>
      </c>
      <c r="C31" s="801" t="s">
        <v>1080</v>
      </c>
      <c r="D31" s="826"/>
      <c r="E31" s="826"/>
      <c r="F31" s="826"/>
      <c r="G31" s="827"/>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7"/>
      <c r="AY31" s="827"/>
      <c r="AZ31" s="827"/>
      <c r="BA31" s="827"/>
      <c r="BB31" s="827"/>
      <c r="BC31" s="827"/>
      <c r="BD31" s="827"/>
      <c r="BE31" s="827"/>
      <c r="BF31" s="827"/>
      <c r="BG31" s="827"/>
      <c r="BH31" s="827"/>
      <c r="BI31" s="827"/>
      <c r="BJ31" s="827"/>
      <c r="BK31" s="827"/>
      <c r="BL31" s="827"/>
      <c r="BM31" s="827"/>
      <c r="BN31" s="827"/>
      <c r="BO31" s="827"/>
      <c r="BP31" s="827"/>
      <c r="BQ31" s="827"/>
      <c r="BR31" s="827"/>
      <c r="BS31" s="827"/>
      <c r="BT31" s="827"/>
      <c r="BU31" s="827"/>
      <c r="BV31" s="827"/>
      <c r="BW31" s="827"/>
      <c r="BX31" s="827"/>
      <c r="BY31" s="827"/>
      <c r="BZ31" s="827"/>
      <c r="CA31" s="827"/>
      <c r="CB31" s="827"/>
      <c r="CC31" s="827"/>
      <c r="CD31" s="827"/>
      <c r="CE31" s="827"/>
      <c r="CF31" s="827"/>
      <c r="CG31" s="827"/>
      <c r="CH31" s="827"/>
      <c r="CI31" s="827"/>
      <c r="CJ31" s="827"/>
      <c r="CK31" s="827"/>
      <c r="CL31" s="827"/>
      <c r="CM31" s="827"/>
      <c r="CN31" s="827"/>
      <c r="CO31" s="827"/>
      <c r="CP31" s="827"/>
      <c r="CQ31" s="827"/>
      <c r="CR31" s="827"/>
      <c r="CS31" s="827"/>
      <c r="CT31" s="827"/>
      <c r="CU31" s="827"/>
      <c r="CV31" s="827"/>
      <c r="CW31" s="827"/>
      <c r="CX31" s="827"/>
      <c r="CY31" s="827"/>
      <c r="CZ31" s="827"/>
      <c r="DA31" s="827"/>
      <c r="DB31" s="827"/>
      <c r="DC31" s="827"/>
      <c r="DD31" s="827"/>
      <c r="DE31" s="827"/>
      <c r="DF31" s="827"/>
      <c r="DG31" s="827"/>
      <c r="DH31" s="827"/>
      <c r="DI31" s="827"/>
      <c r="DJ31" s="827"/>
      <c r="DK31" s="827"/>
      <c r="DL31" s="827"/>
      <c r="DM31" s="827"/>
      <c r="DN31" s="827"/>
      <c r="DO31" s="827"/>
      <c r="DP31" s="827"/>
      <c r="DQ31" s="827"/>
      <c r="DR31" s="827"/>
      <c r="DS31" s="827"/>
      <c r="DT31" s="827"/>
      <c r="DU31" s="827"/>
      <c r="DV31" s="827"/>
      <c r="DW31" s="827"/>
      <c r="DX31" s="827"/>
      <c r="DY31" s="827"/>
      <c r="DZ31" s="827"/>
      <c r="EA31" s="827"/>
      <c r="EB31" s="827"/>
      <c r="EC31" s="827"/>
      <c r="ED31" s="827"/>
      <c r="EE31" s="827"/>
      <c r="EF31" s="827"/>
      <c r="EG31" s="827"/>
      <c r="EH31" s="827"/>
      <c r="EI31" s="827"/>
      <c r="EJ31" s="827"/>
      <c r="EK31" s="827"/>
      <c r="EL31" s="827"/>
      <c r="EM31" s="827"/>
      <c r="EN31" s="827"/>
      <c r="EO31" s="827"/>
      <c r="EP31" s="827"/>
      <c r="EQ31" s="827"/>
      <c r="ER31" s="827"/>
      <c r="ES31" s="827"/>
      <c r="ET31" s="827"/>
      <c r="EU31" s="827"/>
      <c r="EV31" s="827"/>
      <c r="EW31" s="827"/>
      <c r="EX31" s="827"/>
      <c r="EY31" s="827"/>
      <c r="EZ31" s="827"/>
      <c r="FA31" s="827"/>
      <c r="FB31" s="827"/>
      <c r="FC31" s="827"/>
      <c r="FD31" s="827"/>
      <c r="FE31" s="827"/>
      <c r="FF31" s="827"/>
      <c r="FG31" s="827"/>
      <c r="FH31" s="827"/>
      <c r="FI31" s="827"/>
      <c r="FJ31" s="827"/>
      <c r="FK31" s="827"/>
      <c r="FL31" s="827"/>
      <c r="FM31" s="827"/>
      <c r="FN31" s="827"/>
      <c r="FO31" s="827"/>
      <c r="FP31" s="827"/>
      <c r="FQ31" s="827"/>
      <c r="FR31" s="827"/>
      <c r="FS31" s="827"/>
      <c r="FT31" s="827"/>
      <c r="FU31" s="827"/>
      <c r="FV31" s="827"/>
      <c r="FW31" s="827"/>
      <c r="FX31" s="827"/>
      <c r="FY31" s="827"/>
      <c r="FZ31" s="827"/>
      <c r="GA31" s="827"/>
      <c r="GB31" s="827"/>
      <c r="GC31" s="827"/>
      <c r="GD31" s="827"/>
      <c r="GE31" s="827"/>
      <c r="GF31" s="827"/>
      <c r="GG31" s="827"/>
      <c r="GH31" s="827"/>
      <c r="GI31" s="827"/>
      <c r="GJ31" s="827"/>
      <c r="GK31" s="827"/>
      <c r="GL31" s="827"/>
      <c r="GM31" s="827"/>
      <c r="GN31" s="827"/>
      <c r="GO31" s="827"/>
      <c r="GP31" s="827"/>
      <c r="GQ31" s="827"/>
      <c r="GR31" s="827"/>
      <c r="GS31" s="827"/>
      <c r="GT31" s="827"/>
      <c r="GU31" s="827"/>
      <c r="GV31" s="827"/>
      <c r="GW31" s="827"/>
      <c r="GX31" s="827"/>
      <c r="GY31" s="827"/>
      <c r="GZ31" s="827"/>
      <c r="HA31" s="827"/>
      <c r="HB31" s="827"/>
      <c r="HC31" s="827"/>
      <c r="HD31" s="827"/>
      <c r="HE31" s="827"/>
      <c r="HF31" s="827"/>
      <c r="HG31" s="827"/>
      <c r="HH31" s="827"/>
      <c r="HI31" s="827"/>
      <c r="HJ31" s="827"/>
      <c r="HK31" s="827"/>
      <c r="HL31" s="827"/>
      <c r="HM31" s="827"/>
      <c r="HN31" s="827"/>
      <c r="HO31" s="827"/>
      <c r="HP31" s="827"/>
      <c r="HQ31" s="827"/>
      <c r="HR31" s="827"/>
      <c r="HS31" s="827"/>
      <c r="HT31" s="827"/>
      <c r="HU31" s="827"/>
      <c r="HV31" s="827"/>
      <c r="HW31" s="827"/>
      <c r="HX31" s="827"/>
      <c r="HY31" s="827"/>
      <c r="HZ31" s="827"/>
      <c r="IA31" s="827"/>
      <c r="IB31" s="827"/>
      <c r="IC31" s="827"/>
      <c r="ID31" s="827"/>
      <c r="IE31" s="827"/>
      <c r="IF31" s="827"/>
      <c r="IG31" s="827"/>
      <c r="IH31" s="827"/>
      <c r="II31" s="827"/>
      <c r="IJ31" s="827"/>
      <c r="IK31" s="827"/>
      <c r="IL31" s="827"/>
      <c r="IM31" s="827"/>
      <c r="IN31" s="827"/>
      <c r="IO31" s="827"/>
      <c r="IP31" s="827"/>
      <c r="IQ31" s="827"/>
      <c r="IR31" s="827"/>
      <c r="IS31" s="827"/>
      <c r="IT31" s="827"/>
      <c r="IU31" s="827"/>
    </row>
    <row r="32" spans="1:255" s="478" customFormat="1" ht="25.15" customHeight="1">
      <c r="A32" s="767" t="s">
        <v>1027</v>
      </c>
      <c r="B32" s="822">
        <f>SUM(B31:B31)</f>
        <v>1425</v>
      </c>
      <c r="C32" s="503"/>
      <c r="D32" s="826"/>
      <c r="E32" s="826"/>
      <c r="F32" s="826"/>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827"/>
      <c r="AL32" s="827"/>
      <c r="AM32" s="827"/>
      <c r="AN32" s="827"/>
      <c r="AO32" s="827"/>
      <c r="AP32" s="827"/>
      <c r="AQ32" s="827"/>
      <c r="AR32" s="827"/>
      <c r="AS32" s="827"/>
      <c r="AT32" s="827"/>
      <c r="AU32" s="827"/>
      <c r="AV32" s="827"/>
      <c r="AW32" s="827"/>
      <c r="AX32" s="827"/>
      <c r="AY32" s="827"/>
      <c r="AZ32" s="827"/>
      <c r="BA32" s="827"/>
      <c r="BB32" s="827"/>
      <c r="BC32" s="827"/>
      <c r="BD32" s="827"/>
      <c r="BE32" s="827"/>
      <c r="BF32" s="827"/>
      <c r="BG32" s="827"/>
      <c r="BH32" s="827"/>
      <c r="BI32" s="827"/>
      <c r="BJ32" s="827"/>
      <c r="BK32" s="827"/>
      <c r="BL32" s="827"/>
      <c r="BM32" s="827"/>
      <c r="BN32" s="827"/>
      <c r="BO32" s="827"/>
      <c r="BP32" s="827"/>
      <c r="BQ32" s="827"/>
      <c r="BR32" s="827"/>
      <c r="BS32" s="827"/>
      <c r="BT32" s="827"/>
      <c r="BU32" s="827"/>
      <c r="BV32" s="827"/>
      <c r="BW32" s="827"/>
      <c r="BX32" s="827"/>
      <c r="BY32" s="827"/>
      <c r="BZ32" s="827"/>
      <c r="CA32" s="827"/>
      <c r="CB32" s="827"/>
      <c r="CC32" s="827"/>
      <c r="CD32" s="827"/>
      <c r="CE32" s="827"/>
      <c r="CF32" s="827"/>
      <c r="CG32" s="827"/>
      <c r="CH32" s="827"/>
      <c r="CI32" s="827"/>
      <c r="CJ32" s="827"/>
      <c r="CK32" s="827"/>
      <c r="CL32" s="827"/>
      <c r="CM32" s="827"/>
      <c r="CN32" s="827"/>
      <c r="CO32" s="827"/>
      <c r="CP32" s="827"/>
      <c r="CQ32" s="827"/>
      <c r="CR32" s="827"/>
      <c r="CS32" s="827"/>
      <c r="CT32" s="827"/>
      <c r="CU32" s="827"/>
      <c r="CV32" s="827"/>
      <c r="CW32" s="827"/>
      <c r="CX32" s="827"/>
      <c r="CY32" s="827"/>
      <c r="CZ32" s="827"/>
      <c r="DA32" s="827"/>
      <c r="DB32" s="827"/>
      <c r="DC32" s="827"/>
      <c r="DD32" s="827"/>
      <c r="DE32" s="827"/>
      <c r="DF32" s="827"/>
      <c r="DG32" s="827"/>
      <c r="DH32" s="827"/>
      <c r="DI32" s="827"/>
      <c r="DJ32" s="827"/>
      <c r="DK32" s="827"/>
      <c r="DL32" s="827"/>
      <c r="DM32" s="827"/>
      <c r="DN32" s="827"/>
      <c r="DO32" s="827"/>
      <c r="DP32" s="827"/>
      <c r="DQ32" s="827"/>
      <c r="DR32" s="827"/>
      <c r="DS32" s="827"/>
      <c r="DT32" s="827"/>
      <c r="DU32" s="827"/>
      <c r="DV32" s="827"/>
      <c r="DW32" s="827"/>
      <c r="DX32" s="827"/>
      <c r="DY32" s="827"/>
      <c r="DZ32" s="827"/>
      <c r="EA32" s="827"/>
      <c r="EB32" s="827"/>
      <c r="EC32" s="827"/>
      <c r="ED32" s="827"/>
      <c r="EE32" s="827"/>
      <c r="EF32" s="827"/>
      <c r="EG32" s="827"/>
      <c r="EH32" s="827"/>
      <c r="EI32" s="827"/>
      <c r="EJ32" s="827"/>
      <c r="EK32" s="827"/>
      <c r="EL32" s="827"/>
      <c r="EM32" s="827"/>
      <c r="EN32" s="827"/>
      <c r="EO32" s="827"/>
      <c r="EP32" s="827"/>
      <c r="EQ32" s="827"/>
      <c r="ER32" s="827"/>
      <c r="ES32" s="827"/>
      <c r="ET32" s="827"/>
      <c r="EU32" s="827"/>
      <c r="EV32" s="827"/>
      <c r="EW32" s="827"/>
      <c r="EX32" s="827"/>
      <c r="EY32" s="827"/>
      <c r="EZ32" s="827"/>
      <c r="FA32" s="827"/>
      <c r="FB32" s="827"/>
      <c r="FC32" s="827"/>
      <c r="FD32" s="827"/>
      <c r="FE32" s="827"/>
      <c r="FF32" s="827"/>
      <c r="FG32" s="827"/>
      <c r="FH32" s="827"/>
      <c r="FI32" s="827"/>
      <c r="FJ32" s="827"/>
      <c r="FK32" s="827"/>
      <c r="FL32" s="827"/>
      <c r="FM32" s="827"/>
      <c r="FN32" s="827"/>
      <c r="FO32" s="827"/>
      <c r="FP32" s="827"/>
      <c r="FQ32" s="827"/>
      <c r="FR32" s="827"/>
      <c r="FS32" s="827"/>
      <c r="FT32" s="827"/>
      <c r="FU32" s="827"/>
      <c r="FV32" s="827"/>
      <c r="FW32" s="827"/>
      <c r="FX32" s="827"/>
      <c r="FY32" s="827"/>
      <c r="FZ32" s="827"/>
      <c r="GA32" s="827"/>
      <c r="GB32" s="827"/>
      <c r="GC32" s="827"/>
      <c r="GD32" s="827"/>
      <c r="GE32" s="827"/>
      <c r="GF32" s="827"/>
      <c r="GG32" s="827"/>
      <c r="GH32" s="827"/>
      <c r="GI32" s="827"/>
      <c r="GJ32" s="827"/>
      <c r="GK32" s="827"/>
      <c r="GL32" s="827"/>
      <c r="GM32" s="827"/>
      <c r="GN32" s="827"/>
      <c r="GO32" s="827"/>
      <c r="GP32" s="827"/>
      <c r="GQ32" s="827"/>
      <c r="GR32" s="827"/>
      <c r="GS32" s="827"/>
      <c r="GT32" s="827"/>
      <c r="GU32" s="827"/>
      <c r="GV32" s="827"/>
      <c r="GW32" s="827"/>
      <c r="GX32" s="827"/>
      <c r="GY32" s="827"/>
      <c r="GZ32" s="827"/>
      <c r="HA32" s="827"/>
      <c r="HB32" s="827"/>
      <c r="HC32" s="827"/>
      <c r="HD32" s="827"/>
      <c r="HE32" s="827"/>
      <c r="HF32" s="827"/>
      <c r="HG32" s="827"/>
      <c r="HH32" s="827"/>
      <c r="HI32" s="827"/>
      <c r="HJ32" s="827"/>
      <c r="HK32" s="827"/>
      <c r="HL32" s="827"/>
      <c r="HM32" s="827"/>
      <c r="HN32" s="827"/>
      <c r="HO32" s="827"/>
      <c r="HP32" s="827"/>
      <c r="HQ32" s="827"/>
      <c r="HR32" s="827"/>
      <c r="HS32" s="827"/>
      <c r="HT32" s="827"/>
      <c r="HU32" s="827"/>
      <c r="HV32" s="827"/>
      <c r="HW32" s="827"/>
      <c r="HX32" s="827"/>
      <c r="HY32" s="827"/>
      <c r="HZ32" s="827"/>
      <c r="IA32" s="827"/>
      <c r="IB32" s="827"/>
      <c r="IC32" s="827"/>
      <c r="ID32" s="827"/>
      <c r="IE32" s="827"/>
      <c r="IF32" s="827"/>
      <c r="IG32" s="827"/>
      <c r="IH32" s="827"/>
      <c r="II32" s="827"/>
      <c r="IJ32" s="827"/>
      <c r="IK32" s="827"/>
      <c r="IL32" s="827"/>
      <c r="IM32" s="827"/>
      <c r="IN32" s="827"/>
      <c r="IO32" s="827"/>
      <c r="IP32" s="827"/>
      <c r="IQ32" s="827"/>
      <c r="IR32" s="827"/>
      <c r="IS32" s="827"/>
      <c r="IT32" s="827"/>
      <c r="IU32" s="827"/>
    </row>
    <row r="33" spans="1:255" s="478" customFormat="1" ht="25.15" customHeight="1">
      <c r="A33" s="807" t="s">
        <v>1028</v>
      </c>
      <c r="B33" s="823">
        <f>B20+B29+B32</f>
        <v>19152</v>
      </c>
      <c r="C33" s="503"/>
      <c r="D33" s="824"/>
      <c r="E33" s="825"/>
      <c r="F33" s="825"/>
    </row>
    <row r="34" spans="1:255" s="478" customFormat="1" ht="25.15" customHeight="1">
      <c r="A34" s="807" t="s">
        <v>326</v>
      </c>
      <c r="B34" s="823">
        <f>'37.預計平衡表'!D10</f>
        <v>194822</v>
      </c>
      <c r="C34" s="810" t="s">
        <v>832</v>
      </c>
      <c r="D34" s="824"/>
      <c r="E34" s="825"/>
      <c r="F34" s="825"/>
    </row>
    <row r="35" spans="1:255" s="478" customFormat="1" ht="133.5" customHeight="1" thickBot="1">
      <c r="A35" s="807" t="s">
        <v>327</v>
      </c>
      <c r="B35" s="823">
        <f>SUM(B33:B34)</f>
        <v>213974</v>
      </c>
      <c r="C35" s="810"/>
      <c r="D35" s="824"/>
      <c r="E35" s="825"/>
      <c r="F35" s="825"/>
    </row>
    <row r="36" spans="1:255" s="478" customFormat="1" ht="30" hidden="1" customHeight="1">
      <c r="A36" s="811"/>
      <c r="B36" s="812"/>
      <c r="C36" s="830"/>
      <c r="D36" s="824"/>
      <c r="E36" s="825"/>
      <c r="F36" s="825"/>
    </row>
    <row r="37" spans="1:255" s="478" customFormat="1" ht="22.15" hidden="1" customHeight="1" thickBot="1">
      <c r="A37" s="800"/>
      <c r="B37" s="813"/>
      <c r="C37" s="481"/>
      <c r="D37" s="824"/>
      <c r="E37" s="825"/>
      <c r="F37" s="825"/>
    </row>
    <row r="38" spans="1:255" s="831" customFormat="1">
      <c r="A38" s="1051" t="s">
        <v>1043</v>
      </c>
      <c r="B38" s="1052"/>
      <c r="C38" s="1052"/>
      <c r="D38" s="824"/>
      <c r="E38" s="825"/>
      <c r="F38" s="825"/>
    </row>
    <row r="39" spans="1:255" s="833" customFormat="1" ht="24.75" customHeight="1">
      <c r="A39" s="832"/>
      <c r="B39" s="832"/>
      <c r="C39" s="832"/>
      <c r="D39" s="824"/>
      <c r="E39" s="824"/>
      <c r="F39" s="824"/>
      <c r="G39" s="828"/>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8"/>
      <c r="AY39" s="828"/>
      <c r="AZ39" s="828"/>
      <c r="BA39" s="828"/>
      <c r="BB39" s="828"/>
      <c r="BC39" s="828"/>
      <c r="BD39" s="828"/>
      <c r="BE39" s="828"/>
      <c r="BF39" s="828"/>
      <c r="BG39" s="828"/>
      <c r="BH39" s="828"/>
      <c r="BI39" s="828"/>
      <c r="BJ39" s="828"/>
      <c r="BK39" s="828"/>
      <c r="BL39" s="828"/>
      <c r="BM39" s="828"/>
      <c r="BN39" s="828"/>
      <c r="BO39" s="828"/>
      <c r="BP39" s="828"/>
      <c r="BQ39" s="828"/>
      <c r="BR39" s="828"/>
      <c r="BS39" s="828"/>
      <c r="BT39" s="828"/>
      <c r="BU39" s="828"/>
      <c r="BV39" s="828"/>
      <c r="BW39" s="828"/>
      <c r="BX39" s="828"/>
      <c r="BY39" s="828"/>
      <c r="BZ39" s="828"/>
      <c r="CA39" s="828"/>
      <c r="CB39" s="828"/>
      <c r="CC39" s="828"/>
      <c r="CD39" s="828"/>
      <c r="CE39" s="828"/>
      <c r="CF39" s="828"/>
      <c r="CG39" s="828"/>
      <c r="CH39" s="828"/>
      <c r="CI39" s="828"/>
      <c r="CJ39" s="828"/>
      <c r="CK39" s="828"/>
      <c r="CL39" s="828"/>
      <c r="CM39" s="828"/>
      <c r="CN39" s="828"/>
      <c r="CO39" s="828"/>
      <c r="CP39" s="828"/>
      <c r="CQ39" s="828"/>
      <c r="CR39" s="828"/>
      <c r="CS39" s="828"/>
      <c r="CT39" s="828"/>
      <c r="CU39" s="828"/>
      <c r="CV39" s="828"/>
      <c r="CW39" s="828"/>
      <c r="CX39" s="828"/>
      <c r="CY39" s="828"/>
      <c r="CZ39" s="828"/>
      <c r="DA39" s="828"/>
      <c r="DB39" s="828"/>
      <c r="DC39" s="828"/>
      <c r="DD39" s="828"/>
      <c r="DE39" s="828"/>
      <c r="DF39" s="828"/>
      <c r="DG39" s="828"/>
      <c r="DH39" s="828"/>
      <c r="DI39" s="828"/>
      <c r="DJ39" s="828"/>
      <c r="DK39" s="828"/>
      <c r="DL39" s="828"/>
      <c r="DM39" s="828"/>
      <c r="DN39" s="828"/>
      <c r="DO39" s="828"/>
      <c r="DP39" s="828"/>
      <c r="DQ39" s="828"/>
      <c r="DR39" s="828"/>
      <c r="DS39" s="828"/>
      <c r="DT39" s="828"/>
      <c r="DU39" s="828"/>
      <c r="DV39" s="828"/>
      <c r="DW39" s="828"/>
      <c r="DX39" s="828"/>
      <c r="DY39" s="828"/>
      <c r="DZ39" s="828"/>
      <c r="EA39" s="828"/>
      <c r="EB39" s="828"/>
      <c r="EC39" s="828"/>
      <c r="ED39" s="828"/>
      <c r="EE39" s="828"/>
      <c r="EF39" s="828"/>
      <c r="EG39" s="828"/>
      <c r="EH39" s="828"/>
      <c r="EI39" s="828"/>
      <c r="EJ39" s="828"/>
      <c r="EK39" s="828"/>
      <c r="EL39" s="828"/>
      <c r="EM39" s="828"/>
      <c r="EN39" s="828"/>
      <c r="EO39" s="828"/>
      <c r="EP39" s="828"/>
      <c r="EQ39" s="828"/>
      <c r="ER39" s="828"/>
      <c r="ES39" s="828"/>
      <c r="ET39" s="828"/>
      <c r="EU39" s="828"/>
      <c r="EV39" s="828"/>
      <c r="EW39" s="828"/>
      <c r="EX39" s="828"/>
      <c r="EY39" s="828"/>
      <c r="EZ39" s="828"/>
      <c r="FA39" s="828"/>
      <c r="FB39" s="828"/>
      <c r="FC39" s="828"/>
      <c r="FD39" s="828"/>
      <c r="FE39" s="828"/>
      <c r="FF39" s="828"/>
      <c r="FG39" s="828"/>
      <c r="FH39" s="828"/>
      <c r="FI39" s="828"/>
      <c r="FJ39" s="828"/>
      <c r="FK39" s="828"/>
      <c r="FL39" s="828"/>
      <c r="FM39" s="828"/>
      <c r="FN39" s="828"/>
      <c r="FO39" s="828"/>
      <c r="FP39" s="828"/>
      <c r="FQ39" s="828"/>
      <c r="FR39" s="828"/>
      <c r="FS39" s="828"/>
      <c r="FT39" s="828"/>
      <c r="FU39" s="828"/>
      <c r="FV39" s="828"/>
      <c r="FW39" s="828"/>
      <c r="FX39" s="828"/>
      <c r="FY39" s="828"/>
      <c r="FZ39" s="828"/>
      <c r="GA39" s="828"/>
      <c r="GB39" s="828"/>
      <c r="GC39" s="828"/>
      <c r="GD39" s="828"/>
      <c r="GE39" s="828"/>
      <c r="GF39" s="828"/>
      <c r="GG39" s="828"/>
      <c r="GH39" s="828"/>
      <c r="GI39" s="828"/>
      <c r="GJ39" s="828"/>
      <c r="GK39" s="828"/>
      <c r="GL39" s="828"/>
      <c r="GM39" s="828"/>
      <c r="GN39" s="828"/>
      <c r="GO39" s="828"/>
      <c r="GP39" s="828"/>
      <c r="GQ39" s="828"/>
      <c r="GR39" s="828"/>
      <c r="GS39" s="828"/>
      <c r="GT39" s="828"/>
      <c r="GU39" s="828"/>
      <c r="GV39" s="828"/>
      <c r="GW39" s="828"/>
      <c r="GX39" s="828"/>
      <c r="GY39" s="828"/>
      <c r="GZ39" s="828"/>
      <c r="HA39" s="828"/>
      <c r="HB39" s="828"/>
      <c r="HC39" s="828"/>
      <c r="HD39" s="828"/>
      <c r="HE39" s="828"/>
      <c r="HF39" s="828"/>
      <c r="HG39" s="828"/>
      <c r="HH39" s="828"/>
      <c r="HI39" s="828"/>
      <c r="HJ39" s="828"/>
      <c r="HK39" s="828"/>
      <c r="HL39" s="828"/>
      <c r="HM39" s="828"/>
      <c r="HN39" s="828"/>
      <c r="HO39" s="828"/>
      <c r="HP39" s="828"/>
      <c r="HQ39" s="828"/>
      <c r="HR39" s="828"/>
      <c r="HS39" s="828"/>
      <c r="HT39" s="828"/>
      <c r="HU39" s="828"/>
      <c r="HV39" s="828"/>
      <c r="HW39" s="828"/>
      <c r="HX39" s="828"/>
      <c r="HY39" s="828"/>
      <c r="HZ39" s="828"/>
      <c r="IA39" s="828"/>
      <c r="IB39" s="828"/>
      <c r="IC39" s="828"/>
      <c r="ID39" s="828"/>
      <c r="IE39" s="828"/>
      <c r="IF39" s="828"/>
      <c r="IG39" s="828"/>
      <c r="IH39" s="828"/>
      <c r="II39" s="828"/>
      <c r="IJ39" s="828"/>
      <c r="IK39" s="828"/>
      <c r="IL39" s="828"/>
      <c r="IM39" s="828"/>
      <c r="IN39" s="828"/>
      <c r="IO39" s="828"/>
      <c r="IP39" s="828"/>
      <c r="IQ39" s="828"/>
      <c r="IR39" s="828"/>
      <c r="IS39" s="828"/>
      <c r="IT39" s="828"/>
      <c r="IU39" s="828"/>
    </row>
  </sheetData>
  <mergeCells count="8">
    <mergeCell ref="A1:C1"/>
    <mergeCell ref="A2:C2"/>
    <mergeCell ref="A3:C3"/>
    <mergeCell ref="A4:C4"/>
    <mergeCell ref="A38:C38"/>
    <mergeCell ref="A6:A7"/>
    <mergeCell ref="B6:B7"/>
    <mergeCell ref="C6:C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8" orientation="portrait" blackAndWhite="1" useFirstPageNumber="1" r:id="rId1"/>
  <headerFooter scaleWithDoc="0" alignWithMargins="0">
    <oddFooter>&amp;C&amp;"Arial Unicode MS,標準"&amp;P</oddFooter>
  </headerFooter>
</worksheet>
</file>

<file path=xl/worksheets/sheet13.xml><?xml version="1.0" encoding="utf-8"?>
<worksheet xmlns="http://schemas.openxmlformats.org/spreadsheetml/2006/main" xmlns:r="http://schemas.openxmlformats.org/officeDocument/2006/relationships">
  <sheetPr codeName="Sheet14"/>
  <dimension ref="A16:I16"/>
  <sheetViews>
    <sheetView zoomScale="50" workbookViewId="0">
      <selection activeCell="D37" sqref="D37"/>
    </sheetView>
  </sheetViews>
  <sheetFormatPr defaultColWidth="9" defaultRowHeight="16.5"/>
  <cols>
    <col min="1" max="8" width="9" style="1"/>
    <col min="9" max="9" width="14.125" style="1" customWidth="1"/>
    <col min="10" max="16384" width="9" style="1"/>
  </cols>
  <sheetData>
    <row r="16" spans="1:9" ht="50.25">
      <c r="A16" s="995" t="s">
        <v>299</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5">
    <tabColor rgb="FFFFFFCC"/>
  </sheetPr>
  <dimension ref="A1:G29"/>
  <sheetViews>
    <sheetView zoomScaleNormal="100" workbookViewId="0">
      <selection activeCell="D11" sqref="D11"/>
    </sheetView>
  </sheetViews>
  <sheetFormatPr defaultColWidth="9" defaultRowHeight="16.5"/>
  <cols>
    <col min="1" max="1" width="7.625" style="29" customWidth="1"/>
    <col min="2" max="2" width="32.25" style="29" customWidth="1"/>
    <col min="3" max="3" width="6" style="29" customWidth="1"/>
    <col min="4" max="4" width="13.125" style="29" customWidth="1"/>
    <col min="5" max="5" width="11.25" style="29" bestFit="1" customWidth="1"/>
    <col min="6" max="6" width="13.125" style="29" customWidth="1"/>
    <col min="7" max="7" width="11" style="29" customWidth="1"/>
    <col min="8" max="8" width="9.625" style="29" customWidth="1"/>
    <col min="9" max="9" width="7.5" style="29" customWidth="1"/>
    <col min="10" max="16384" width="9" style="29"/>
  </cols>
  <sheetData>
    <row r="1" spans="1:7" ht="25.5">
      <c r="A1" s="1057" t="s">
        <v>144</v>
      </c>
      <c r="B1" s="1057"/>
      <c r="C1" s="1057"/>
      <c r="D1" s="1057"/>
      <c r="E1" s="1057"/>
      <c r="F1" s="1057"/>
      <c r="G1" s="1057"/>
    </row>
    <row r="2" spans="1:7" ht="21">
      <c r="A2" s="1058" t="s">
        <v>145</v>
      </c>
      <c r="B2" s="1058"/>
      <c r="C2" s="1058"/>
      <c r="D2" s="1058"/>
      <c r="E2" s="1058"/>
      <c r="F2" s="1058"/>
      <c r="G2" s="1058"/>
    </row>
    <row r="3" spans="1:7" ht="21">
      <c r="A3" s="1059" t="s">
        <v>431</v>
      </c>
      <c r="B3" s="1059"/>
      <c r="C3" s="1059"/>
      <c r="D3" s="1059"/>
      <c r="E3" s="1059"/>
      <c r="F3" s="1059"/>
      <c r="G3" s="1059"/>
    </row>
    <row r="4" spans="1:7" ht="19.5">
      <c r="A4" s="1060" t="s">
        <v>1054</v>
      </c>
      <c r="B4" s="1060"/>
      <c r="C4" s="1060"/>
      <c r="D4" s="1060"/>
      <c r="E4" s="1060"/>
      <c r="F4" s="1060"/>
      <c r="G4" s="1060"/>
    </row>
    <row r="5" spans="1:7" ht="17.25" thickBot="1">
      <c r="A5" s="835"/>
      <c r="B5" s="835"/>
      <c r="C5" s="835"/>
      <c r="D5" s="835"/>
      <c r="E5" s="835"/>
      <c r="F5" s="835"/>
      <c r="G5" s="836" t="s">
        <v>619</v>
      </c>
    </row>
    <row r="6" spans="1:7" s="837" customFormat="1" ht="21" customHeight="1">
      <c r="A6" s="1066" t="s">
        <v>274</v>
      </c>
      <c r="B6" s="1067"/>
      <c r="C6" s="1070" t="s">
        <v>159</v>
      </c>
      <c r="D6" s="1063" t="s">
        <v>312</v>
      </c>
      <c r="E6" s="1064"/>
      <c r="F6" s="1065"/>
      <c r="G6" s="1072" t="s">
        <v>365</v>
      </c>
    </row>
    <row r="7" spans="1:7" s="837" customFormat="1" ht="21" customHeight="1">
      <c r="A7" s="1068"/>
      <c r="B7" s="1069"/>
      <c r="C7" s="1071"/>
      <c r="D7" s="838" t="s">
        <v>313</v>
      </c>
      <c r="E7" s="839" t="s">
        <v>337</v>
      </c>
      <c r="F7" s="838" t="s">
        <v>314</v>
      </c>
      <c r="G7" s="1073"/>
    </row>
    <row r="8" spans="1:7" s="843" customFormat="1" ht="30" customHeight="1">
      <c r="A8" s="840" t="s">
        <v>330</v>
      </c>
      <c r="B8" s="841"/>
      <c r="C8" s="841" t="s">
        <v>834</v>
      </c>
      <c r="D8" s="947">
        <f>SUM(D10:D18)</f>
        <v>460025</v>
      </c>
      <c r="E8" s="947">
        <f>(F8/D8)*1000</f>
        <v>1327.4104668224554</v>
      </c>
      <c r="F8" s="967">
        <f>SUM(F9)</f>
        <v>610642</v>
      </c>
      <c r="G8" s="842"/>
    </row>
    <row r="9" spans="1:7" s="846" customFormat="1" ht="30" customHeight="1">
      <c r="A9" s="844" t="s">
        <v>331</v>
      </c>
      <c r="B9" s="153"/>
      <c r="C9" s="153"/>
      <c r="D9" s="263"/>
      <c r="E9" s="263" t="s">
        <v>966</v>
      </c>
      <c r="F9" s="263">
        <f>SUM(F10:F17)</f>
        <v>610642</v>
      </c>
      <c r="G9" s="845"/>
    </row>
    <row r="10" spans="1:7" s="846" customFormat="1" ht="30" customHeight="1">
      <c r="A10" s="844" t="s">
        <v>332</v>
      </c>
      <c r="B10" s="153"/>
      <c r="C10" s="841" t="s">
        <v>833</v>
      </c>
      <c r="D10" s="263">
        <v>97650</v>
      </c>
      <c r="E10" s="263"/>
      <c r="F10" s="263">
        <v>129924</v>
      </c>
      <c r="G10" s="847"/>
    </row>
    <row r="11" spans="1:7" s="846" customFormat="1" ht="30" customHeight="1">
      <c r="A11" s="844" t="s">
        <v>333</v>
      </c>
      <c r="B11" s="153"/>
      <c r="C11" s="841" t="s">
        <v>833</v>
      </c>
      <c r="D11" s="263">
        <v>26200</v>
      </c>
      <c r="E11" s="263"/>
      <c r="F11" s="263">
        <v>20142</v>
      </c>
      <c r="G11" s="848"/>
    </row>
    <row r="12" spans="1:7" s="846" customFormat="1" ht="30" customHeight="1">
      <c r="A12" s="844" t="s">
        <v>336</v>
      </c>
      <c r="B12" s="153"/>
      <c r="C12" s="841" t="s">
        <v>833</v>
      </c>
      <c r="D12" s="263">
        <v>7450</v>
      </c>
      <c r="E12" s="263"/>
      <c r="F12" s="263">
        <v>20480</v>
      </c>
      <c r="G12" s="847"/>
    </row>
    <row r="13" spans="1:7" s="846" customFormat="1" ht="30" customHeight="1">
      <c r="A13" s="844" t="s">
        <v>334</v>
      </c>
      <c r="B13" s="153"/>
      <c r="C13" s="841" t="s">
        <v>833</v>
      </c>
      <c r="D13" s="263">
        <v>151090</v>
      </c>
      <c r="E13" s="263"/>
      <c r="F13" s="263">
        <v>166813</v>
      </c>
      <c r="G13" s="848"/>
    </row>
    <row r="14" spans="1:7" s="846" customFormat="1" ht="30" customHeight="1">
      <c r="A14" s="359" t="s">
        <v>335</v>
      </c>
      <c r="B14" s="849"/>
      <c r="C14" s="841" t="s">
        <v>833</v>
      </c>
      <c r="D14" s="263">
        <v>169625</v>
      </c>
      <c r="E14" s="263"/>
      <c r="F14" s="263">
        <v>261226</v>
      </c>
      <c r="G14" s="848"/>
    </row>
    <row r="15" spans="1:7" s="846" customFormat="1" ht="30" customHeight="1">
      <c r="A15" s="359" t="s">
        <v>958</v>
      </c>
      <c r="B15" s="849"/>
      <c r="C15" s="841" t="s">
        <v>833</v>
      </c>
      <c r="D15" s="263">
        <v>6000</v>
      </c>
      <c r="E15" s="263"/>
      <c r="F15" s="263">
        <v>10040</v>
      </c>
      <c r="G15" s="848"/>
    </row>
    <row r="16" spans="1:7" s="846" customFormat="1" ht="30" customHeight="1">
      <c r="A16" s="850" t="s">
        <v>933</v>
      </c>
      <c r="B16" s="851"/>
      <c r="C16" s="841" t="s">
        <v>833</v>
      </c>
      <c r="D16" s="263">
        <v>2005</v>
      </c>
      <c r="E16" s="263"/>
      <c r="F16" s="263">
        <v>2005</v>
      </c>
      <c r="G16" s="852"/>
    </row>
    <row r="17" spans="1:7" s="846" customFormat="1" ht="30" customHeight="1">
      <c r="A17" s="850" t="s">
        <v>934</v>
      </c>
      <c r="B17" s="853"/>
      <c r="C17" s="841" t="s">
        <v>927</v>
      </c>
      <c r="D17" s="263">
        <v>5</v>
      </c>
      <c r="E17" s="263"/>
      <c r="F17" s="263">
        <v>12</v>
      </c>
      <c r="G17" s="847"/>
    </row>
    <row r="18" spans="1:7" s="846" customFormat="1" ht="20.45" customHeight="1">
      <c r="A18" s="850" t="s">
        <v>935</v>
      </c>
      <c r="B18" s="853"/>
      <c r="C18" s="153"/>
      <c r="D18" s="854"/>
      <c r="E18" s="171"/>
      <c r="F18" s="171"/>
      <c r="G18" s="847"/>
    </row>
    <row r="19" spans="1:7" ht="30" customHeight="1">
      <c r="A19" s="150"/>
      <c r="B19" s="855"/>
      <c r="C19" s="855"/>
      <c r="D19" s="856"/>
      <c r="E19" s="857"/>
      <c r="F19" s="857"/>
      <c r="G19" s="858"/>
    </row>
    <row r="20" spans="1:7" ht="30" customHeight="1">
      <c r="A20" s="150"/>
      <c r="B20" s="855"/>
      <c r="C20" s="855"/>
      <c r="D20" s="856"/>
      <c r="E20" s="857"/>
      <c r="F20" s="857"/>
      <c r="G20" s="858"/>
    </row>
    <row r="21" spans="1:7" ht="30" customHeight="1">
      <c r="A21" s="150"/>
      <c r="B21" s="855"/>
      <c r="C21" s="855"/>
      <c r="D21" s="856"/>
      <c r="E21" s="857"/>
      <c r="F21" s="857"/>
      <c r="G21" s="858"/>
    </row>
    <row r="22" spans="1:7" ht="30" customHeight="1">
      <c r="A22" s="150"/>
      <c r="B22" s="855"/>
      <c r="C22" s="855"/>
      <c r="D22" s="856"/>
      <c r="E22" s="857"/>
      <c r="F22" s="857"/>
      <c r="G22" s="858"/>
    </row>
    <row r="23" spans="1:7" ht="30" customHeight="1">
      <c r="A23" s="150"/>
      <c r="B23" s="855"/>
      <c r="C23" s="855"/>
      <c r="D23" s="856"/>
      <c r="E23" s="857"/>
      <c r="F23" s="857"/>
      <c r="G23" s="858"/>
    </row>
    <row r="24" spans="1:7" ht="30" customHeight="1">
      <c r="A24" s="859"/>
      <c r="B24" s="860"/>
      <c r="C24" s="861"/>
      <c r="D24" s="862"/>
      <c r="E24" s="863"/>
      <c r="F24" s="862"/>
      <c r="G24" s="847"/>
    </row>
    <row r="25" spans="1:7" ht="30" customHeight="1">
      <c r="A25" s="859" t="s">
        <v>160</v>
      </c>
      <c r="B25" s="860"/>
      <c r="C25" s="860"/>
      <c r="D25" s="45"/>
      <c r="E25" s="862"/>
      <c r="F25" s="862"/>
      <c r="G25" s="847"/>
    </row>
    <row r="26" spans="1:7" ht="30" customHeight="1">
      <c r="A26" s="547"/>
      <c r="B26" s="855"/>
      <c r="C26" s="855"/>
      <c r="D26" s="45"/>
      <c r="E26" s="862"/>
      <c r="F26" s="862"/>
      <c r="G26" s="847"/>
    </row>
    <row r="27" spans="1:7" ht="30" customHeight="1">
      <c r="A27" s="864"/>
      <c r="B27" s="865"/>
      <c r="C27" s="865"/>
      <c r="D27" s="866"/>
      <c r="E27" s="867"/>
      <c r="F27" s="867"/>
      <c r="G27" s="868"/>
    </row>
    <row r="28" spans="1:7" s="871" customFormat="1" ht="30" customHeight="1">
      <c r="A28" s="1061"/>
      <c r="B28" s="1062"/>
      <c r="C28" s="869"/>
      <c r="D28" s="126"/>
      <c r="E28" s="149"/>
      <c r="F28" s="126"/>
      <c r="G28" s="870"/>
    </row>
    <row r="29" spans="1:7" ht="57" customHeight="1" thickBot="1">
      <c r="A29" s="872"/>
      <c r="B29" s="873"/>
      <c r="C29" s="873"/>
      <c r="D29" s="874"/>
      <c r="E29" s="874"/>
      <c r="F29" s="874"/>
      <c r="G29" s="875"/>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51181102362204722" footer="0.51181102362204722"/>
  <pageSetup paperSize="9" scale="93" firstPageNumber="19" orientation="portrait" blackAndWhite="1" useFirstPageNumber="1" r:id="rId1"/>
  <headerFooter scaleWithDoc="0" alignWithMargins="0">
    <oddFooter>&amp;C&amp;"Arial Unicode MS,標準"&amp;P</oddFooter>
  </headerFooter>
</worksheet>
</file>

<file path=xl/worksheets/sheet15.xml><?xml version="1.0" encoding="utf-8"?>
<worksheet xmlns="http://schemas.openxmlformats.org/spreadsheetml/2006/main" xmlns:r="http://schemas.openxmlformats.org/officeDocument/2006/relationships">
  <sheetPr>
    <tabColor rgb="FFFFFFCC"/>
  </sheetPr>
  <dimension ref="A1:H40"/>
  <sheetViews>
    <sheetView zoomScaleNormal="100" workbookViewId="0">
      <selection activeCell="D14" sqref="D14"/>
    </sheetView>
  </sheetViews>
  <sheetFormatPr defaultColWidth="9" defaultRowHeight="16.5"/>
  <cols>
    <col min="1" max="1" width="10.625" style="30" customWidth="1"/>
    <col min="2" max="2" width="15.625" style="30" customWidth="1"/>
    <col min="3" max="3" width="20.625" style="30" customWidth="1"/>
    <col min="4" max="4" width="45.625" style="30" customWidth="1"/>
    <col min="5" max="5" width="9" style="30"/>
    <col min="6" max="6" width="12.375" style="30" bestFit="1" customWidth="1"/>
    <col min="7" max="16384" width="9" style="30"/>
  </cols>
  <sheetData>
    <row r="1" spans="1:8" ht="25.5">
      <c r="A1" s="1075" t="s">
        <v>144</v>
      </c>
      <c r="B1" s="1075"/>
      <c r="C1" s="1075"/>
      <c r="D1" s="1075"/>
      <c r="E1" s="32"/>
      <c r="F1" s="32"/>
      <c r="G1" s="32"/>
      <c r="H1" s="32"/>
    </row>
    <row r="2" spans="1:8" ht="21">
      <c r="A2" s="1076" t="s">
        <v>145</v>
      </c>
      <c r="B2" s="1076"/>
      <c r="C2" s="1076"/>
      <c r="D2" s="1076"/>
      <c r="E2" s="33"/>
      <c r="F2" s="33"/>
      <c r="G2" s="33"/>
      <c r="H2" s="33"/>
    </row>
    <row r="3" spans="1:8" ht="21">
      <c r="A3" s="1077" t="s">
        <v>820</v>
      </c>
      <c r="B3" s="1077"/>
      <c r="C3" s="1077"/>
      <c r="D3" s="1077"/>
      <c r="E3" s="549"/>
      <c r="F3" s="549"/>
      <c r="G3" s="549"/>
      <c r="H3" s="549"/>
    </row>
    <row r="4" spans="1:8" ht="19.5">
      <c r="A4" s="1078" t="s">
        <v>1081</v>
      </c>
      <c r="B4" s="1078"/>
      <c r="C4" s="1078"/>
      <c r="D4" s="1078"/>
      <c r="E4" s="35"/>
      <c r="F4" s="35"/>
      <c r="G4" s="35"/>
      <c r="H4" s="35"/>
    </row>
    <row r="5" spans="1:8" ht="17.25" thickBot="1">
      <c r="A5" s="32"/>
      <c r="B5" s="32"/>
      <c r="C5" s="32"/>
      <c r="D5" s="68" t="s">
        <v>619</v>
      </c>
      <c r="E5" s="32"/>
      <c r="F5" s="37"/>
    </row>
    <row r="6" spans="1:8" s="37" customFormat="1" ht="21" customHeight="1">
      <c r="A6" s="1079" t="s">
        <v>338</v>
      </c>
      <c r="B6" s="1080"/>
      <c r="C6" s="1083" t="s">
        <v>340</v>
      </c>
      <c r="D6" s="1085" t="s">
        <v>339</v>
      </c>
    </row>
    <row r="7" spans="1:8" s="37" customFormat="1" ht="21" customHeight="1">
      <c r="A7" s="1081"/>
      <c r="B7" s="1082"/>
      <c r="C7" s="1084"/>
      <c r="D7" s="1086"/>
    </row>
    <row r="8" spans="1:8" s="47" customFormat="1" ht="40.9" customHeight="1">
      <c r="A8" s="762" t="s">
        <v>821</v>
      </c>
      <c r="B8" s="763"/>
      <c r="C8" s="402">
        <f>SUM(C9:C10)</f>
        <v>1450</v>
      </c>
      <c r="D8" s="175"/>
      <c r="F8" s="65"/>
    </row>
    <row r="9" spans="1:8" s="47" customFormat="1" ht="49.9" customHeight="1">
      <c r="A9" s="760" t="s">
        <v>1005</v>
      </c>
      <c r="B9" s="761"/>
      <c r="C9" s="968">
        <v>290</v>
      </c>
      <c r="D9" s="969" t="s">
        <v>1007</v>
      </c>
      <c r="F9" s="65"/>
    </row>
    <row r="10" spans="1:8" s="47" customFormat="1" ht="36.6" customHeight="1">
      <c r="A10" s="760" t="s">
        <v>1006</v>
      </c>
      <c r="B10" s="761"/>
      <c r="C10" s="968">
        <v>1160</v>
      </c>
      <c r="D10" s="969" t="s">
        <v>1082</v>
      </c>
      <c r="F10" s="65"/>
    </row>
    <row r="11" spans="1:8" s="47" customFormat="1" ht="30" customHeight="1">
      <c r="A11" s="557"/>
      <c r="B11" s="52"/>
      <c r="C11" s="31"/>
      <c r="D11" s="194"/>
      <c r="E11" s="1074"/>
    </row>
    <row r="12" spans="1:8" s="47" customFormat="1" ht="30" customHeight="1">
      <c r="A12" s="163"/>
      <c r="B12" s="52"/>
      <c r="C12" s="31"/>
      <c r="D12" s="161"/>
      <c r="E12" s="1074"/>
    </row>
    <row r="13" spans="1:8" s="47" customFormat="1" ht="30" customHeight="1">
      <c r="A13" s="163"/>
      <c r="B13" s="52"/>
      <c r="C13" s="31"/>
      <c r="D13" s="169"/>
      <c r="E13" s="1074"/>
    </row>
    <row r="14" spans="1:8" s="47" customFormat="1" ht="30" customHeight="1">
      <c r="A14" s="163"/>
      <c r="B14" s="52"/>
      <c r="C14" s="31"/>
      <c r="D14" s="161"/>
      <c r="E14" s="1074"/>
    </row>
    <row r="15" spans="1:8" s="47" customFormat="1" ht="30" customHeight="1">
      <c r="A15" s="163"/>
      <c r="B15" s="52"/>
      <c r="C15" s="31"/>
      <c r="D15" s="161"/>
      <c r="E15" s="1074"/>
    </row>
    <row r="16" spans="1:8" s="47" customFormat="1" ht="30" customHeight="1">
      <c r="A16" s="150"/>
      <c r="B16" s="52"/>
      <c r="C16" s="31"/>
      <c r="D16" s="161"/>
      <c r="E16" s="1074"/>
    </row>
    <row r="17" spans="1:5" s="47" customFormat="1" ht="30" customHeight="1">
      <c r="A17" s="70"/>
      <c r="B17" s="52"/>
      <c r="C17" s="31"/>
      <c r="D17" s="162"/>
      <c r="E17" s="1074"/>
    </row>
    <row r="18" spans="1:5" s="47" customFormat="1" ht="30" customHeight="1">
      <c r="A18" s="163"/>
      <c r="B18" s="52"/>
      <c r="C18" s="31"/>
      <c r="D18" s="162"/>
      <c r="E18" s="1074"/>
    </row>
    <row r="19" spans="1:5" s="47" customFormat="1" ht="30" customHeight="1">
      <c r="A19" s="163"/>
      <c r="B19" s="52"/>
      <c r="C19" s="31"/>
      <c r="D19" s="161"/>
      <c r="E19" s="1074"/>
    </row>
    <row r="20" spans="1:5" s="47" customFormat="1" ht="30" customHeight="1">
      <c r="A20" s="163"/>
      <c r="B20" s="52"/>
      <c r="C20" s="31"/>
      <c r="D20" s="161"/>
    </row>
    <row r="21" spans="1:5" s="47" customFormat="1" ht="30" customHeight="1">
      <c r="A21" s="163"/>
      <c r="B21" s="52"/>
      <c r="C21" s="31"/>
      <c r="D21" s="161"/>
    </row>
    <row r="22" spans="1:5" s="47" customFormat="1" ht="30" customHeight="1">
      <c r="A22" s="163"/>
      <c r="B22" s="52"/>
      <c r="C22" s="31"/>
      <c r="D22" s="161"/>
    </row>
    <row r="23" spans="1:5" s="47" customFormat="1" ht="30" customHeight="1">
      <c r="A23" s="163"/>
      <c r="B23" s="52"/>
      <c r="C23" s="31"/>
      <c r="D23" s="161"/>
    </row>
    <row r="24" spans="1:5" s="47" customFormat="1" ht="30" customHeight="1">
      <c r="A24" s="163"/>
      <c r="B24" s="52"/>
      <c r="C24" s="31"/>
      <c r="D24" s="161"/>
    </row>
    <row r="25" spans="1:5" s="47" customFormat="1" ht="30" customHeight="1">
      <c r="A25" s="163"/>
      <c r="B25" s="52"/>
      <c r="C25" s="31"/>
      <c r="D25" s="161"/>
    </row>
    <row r="26" spans="1:5" s="72" customFormat="1" ht="30" customHeight="1">
      <c r="A26" s="163"/>
      <c r="B26" s="51"/>
      <c r="C26" s="31"/>
      <c r="D26" s="164"/>
    </row>
    <row r="27" spans="1:5" ht="55.9" customHeight="1" thickBot="1">
      <c r="A27" s="165"/>
      <c r="B27" s="166"/>
      <c r="C27" s="167"/>
      <c r="D27" s="168"/>
    </row>
    <row r="28" spans="1:5">
      <c r="A28" s="53"/>
      <c r="B28" s="53"/>
      <c r="C28" s="53"/>
      <c r="D28" s="53"/>
    </row>
    <row r="29" spans="1:5">
      <c r="A29" s="53"/>
      <c r="B29" s="53"/>
      <c r="C29" s="53"/>
      <c r="D29" s="53"/>
    </row>
    <row r="30" spans="1:5">
      <c r="A30" s="53"/>
      <c r="B30" s="53"/>
      <c r="C30" s="53"/>
      <c r="D30" s="53"/>
    </row>
    <row r="31" spans="1:5">
      <c r="A31" s="53"/>
      <c r="B31" s="53"/>
      <c r="C31" s="53"/>
      <c r="D31" s="53"/>
    </row>
    <row r="32" spans="1:5">
      <c r="A32" s="53"/>
      <c r="B32" s="53"/>
      <c r="C32" s="53"/>
      <c r="D32" s="53"/>
    </row>
    <row r="33" spans="1:4">
      <c r="A33" s="53"/>
      <c r="B33" s="53"/>
      <c r="C33" s="53"/>
      <c r="D33" s="53"/>
    </row>
    <row r="34" spans="1:4">
      <c r="A34" s="53"/>
      <c r="B34" s="53"/>
      <c r="C34" s="53"/>
      <c r="D34" s="53"/>
    </row>
    <row r="35" spans="1:4">
      <c r="A35" s="53"/>
      <c r="B35" s="53"/>
      <c r="C35" s="53"/>
      <c r="D35" s="53"/>
    </row>
    <row r="36" spans="1:4">
      <c r="A36" s="53"/>
      <c r="B36" s="53"/>
      <c r="C36" s="53"/>
      <c r="D36" s="53"/>
    </row>
    <row r="37" spans="1:4">
      <c r="A37" s="53"/>
      <c r="B37" s="53"/>
      <c r="C37" s="53"/>
      <c r="D37" s="53"/>
    </row>
    <row r="38" spans="1:4">
      <c r="A38" s="53"/>
      <c r="B38" s="53"/>
      <c r="C38" s="53"/>
      <c r="D38" s="53"/>
    </row>
    <row r="39" spans="1:4">
      <c r="A39" s="53"/>
      <c r="B39" s="53"/>
      <c r="C39" s="53"/>
      <c r="D39" s="53"/>
    </row>
    <row r="40" spans="1:4">
      <c r="A40" s="53"/>
      <c r="B40" s="53"/>
      <c r="C40" s="53"/>
      <c r="D40" s="53"/>
    </row>
  </sheetData>
  <mergeCells count="8">
    <mergeCell ref="E11:E19"/>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0" orientation="portrait" blackAndWhite="1" useFirstPageNumber="1" r:id="rId1"/>
  <headerFooter scaleWithDoc="0" alignWithMargins="0">
    <oddFooter>&amp;C&amp;"Arial Unicode MS,標準"&amp;P</oddFooter>
  </headerFooter>
</worksheet>
</file>

<file path=xl/worksheets/sheet16.xml><?xml version="1.0" encoding="utf-8"?>
<worksheet xmlns="http://schemas.openxmlformats.org/spreadsheetml/2006/main" xmlns:r="http://schemas.openxmlformats.org/officeDocument/2006/relationships">
  <sheetPr codeName="Sheet16">
    <tabColor rgb="FFFFFFCC"/>
  </sheetPr>
  <dimension ref="A1:H42"/>
  <sheetViews>
    <sheetView zoomScaleNormal="100" workbookViewId="0">
      <selection activeCell="C11" sqref="C11"/>
    </sheetView>
  </sheetViews>
  <sheetFormatPr defaultColWidth="9" defaultRowHeight="16.5"/>
  <cols>
    <col min="1" max="1" width="10.625" style="30" customWidth="1"/>
    <col min="2" max="2" width="15.625" style="30" customWidth="1"/>
    <col min="3" max="3" width="20.625" style="30" customWidth="1"/>
    <col min="4" max="4" width="45.625" style="30" customWidth="1"/>
    <col min="5" max="5" width="9" style="30"/>
    <col min="6" max="6" width="12.375" style="30" bestFit="1" customWidth="1"/>
    <col min="7" max="16384" width="9" style="30"/>
  </cols>
  <sheetData>
    <row r="1" spans="1:8" ht="25.5">
      <c r="A1" s="1075" t="s">
        <v>144</v>
      </c>
      <c r="B1" s="1075"/>
      <c r="C1" s="1075"/>
      <c r="D1" s="1075"/>
      <c r="E1" s="32"/>
      <c r="F1" s="32"/>
      <c r="G1" s="32"/>
      <c r="H1" s="32"/>
    </row>
    <row r="2" spans="1:8" ht="21">
      <c r="A2" s="1076" t="s">
        <v>145</v>
      </c>
      <c r="B2" s="1076"/>
      <c r="C2" s="1076"/>
      <c r="D2" s="1076"/>
      <c r="E2" s="33"/>
      <c r="F2" s="33"/>
      <c r="G2" s="33"/>
      <c r="H2" s="33"/>
    </row>
    <row r="3" spans="1:8" ht="21">
      <c r="A3" s="1077" t="s">
        <v>122</v>
      </c>
      <c r="B3" s="1077"/>
      <c r="C3" s="1077"/>
      <c r="D3" s="1077"/>
      <c r="E3" s="34"/>
      <c r="F3" s="34"/>
      <c r="G3" s="34"/>
      <c r="H3" s="34"/>
    </row>
    <row r="4" spans="1:8" ht="19.5">
      <c r="A4" s="1078" t="s">
        <v>1077</v>
      </c>
      <c r="B4" s="1078"/>
      <c r="C4" s="1078"/>
      <c r="D4" s="1078"/>
      <c r="E4" s="35"/>
      <c r="F4" s="35"/>
      <c r="G4" s="35"/>
      <c r="H4" s="35"/>
    </row>
    <row r="5" spans="1:8" ht="17.25" thickBot="1">
      <c r="A5" s="32"/>
      <c r="B5" s="32"/>
      <c r="C5" s="32"/>
      <c r="D5" s="68" t="s">
        <v>620</v>
      </c>
      <c r="E5" s="32"/>
      <c r="F5" s="37"/>
    </row>
    <row r="6" spans="1:8" s="37" customFormat="1" ht="21" customHeight="1">
      <c r="A6" s="1079" t="s">
        <v>338</v>
      </c>
      <c r="B6" s="1080"/>
      <c r="C6" s="1083" t="s">
        <v>340</v>
      </c>
      <c r="D6" s="1085" t="s">
        <v>339</v>
      </c>
    </row>
    <row r="7" spans="1:8" s="37" customFormat="1" ht="21" customHeight="1">
      <c r="A7" s="1081"/>
      <c r="B7" s="1082"/>
      <c r="C7" s="1084"/>
      <c r="D7" s="1086"/>
    </row>
    <row r="8" spans="1:8" s="47" customFormat="1" ht="30" customHeight="1">
      <c r="A8" s="195" t="s">
        <v>315</v>
      </c>
      <c r="B8" s="173"/>
      <c r="C8" s="174">
        <f>SUM(C9)</f>
        <v>2550</v>
      </c>
      <c r="D8" s="175"/>
      <c r="F8" s="65"/>
    </row>
    <row r="9" spans="1:8" s="47" customFormat="1" ht="30" customHeight="1">
      <c r="A9" s="172" t="s">
        <v>341</v>
      </c>
      <c r="B9" s="173"/>
      <c r="C9" s="171">
        <v>2550</v>
      </c>
      <c r="D9" s="175" t="s">
        <v>1083</v>
      </c>
      <c r="F9" s="65"/>
    </row>
    <row r="10" spans="1:8" s="47" customFormat="1" ht="30" customHeight="1">
      <c r="A10" s="163"/>
      <c r="B10" s="52"/>
      <c r="C10" s="31"/>
      <c r="D10" s="162"/>
      <c r="E10" s="1074"/>
    </row>
    <row r="11" spans="1:8" s="47" customFormat="1" ht="30" customHeight="1">
      <c r="A11" s="163"/>
      <c r="B11" s="52"/>
      <c r="C11" s="31"/>
      <c r="D11" s="161"/>
      <c r="E11" s="1074"/>
    </row>
    <row r="12" spans="1:8" s="47" customFormat="1" ht="30" customHeight="1">
      <c r="A12" s="163"/>
      <c r="B12" s="52"/>
      <c r="C12" s="31"/>
      <c r="D12" s="169"/>
      <c r="E12" s="1074"/>
    </row>
    <row r="13" spans="1:8" s="47" customFormat="1" ht="30" customHeight="1">
      <c r="A13" s="163"/>
      <c r="B13" s="52"/>
      <c r="C13" s="31"/>
      <c r="D13" s="161"/>
      <c r="E13" s="1074"/>
    </row>
    <row r="14" spans="1:8" s="47" customFormat="1" ht="30" customHeight="1">
      <c r="A14" s="163"/>
      <c r="B14" s="52"/>
      <c r="C14" s="31"/>
      <c r="D14" s="161"/>
      <c r="E14" s="1074"/>
    </row>
    <row r="15" spans="1:8" s="47" customFormat="1" ht="30" customHeight="1">
      <c r="A15" s="150"/>
      <c r="B15" s="52"/>
      <c r="C15" s="31"/>
      <c r="D15" s="161"/>
      <c r="E15" s="1074"/>
    </row>
    <row r="16" spans="1:8" s="47" customFormat="1" ht="30" customHeight="1">
      <c r="A16" s="70"/>
      <c r="B16" s="52"/>
      <c r="C16" s="31"/>
      <c r="D16" s="162"/>
      <c r="E16" s="1074"/>
    </row>
    <row r="17" spans="1:5" s="47" customFormat="1" ht="30" customHeight="1">
      <c r="A17" s="163"/>
      <c r="B17" s="52"/>
      <c r="C17" s="31"/>
      <c r="D17" s="162"/>
      <c r="E17" s="1074"/>
    </row>
    <row r="18" spans="1:5" s="47" customFormat="1" ht="30" customHeight="1">
      <c r="A18" s="163"/>
      <c r="B18" s="52"/>
      <c r="C18" s="31"/>
      <c r="D18" s="161"/>
      <c r="E18" s="1074"/>
    </row>
    <row r="19" spans="1:5" s="47" customFormat="1" ht="30" customHeight="1">
      <c r="A19" s="163"/>
      <c r="B19" s="52"/>
      <c r="C19" s="31"/>
      <c r="D19" s="161"/>
    </row>
    <row r="20" spans="1:5" s="47" customFormat="1" ht="30" customHeight="1">
      <c r="A20" s="163"/>
      <c r="B20" s="52"/>
      <c r="C20" s="31"/>
      <c r="D20" s="161"/>
    </row>
    <row r="21" spans="1:5" s="47" customFormat="1" ht="30" customHeight="1">
      <c r="A21" s="163"/>
      <c r="B21" s="52"/>
      <c r="C21" s="31"/>
      <c r="D21" s="161"/>
    </row>
    <row r="22" spans="1:5" s="47" customFormat="1" ht="30" customHeight="1">
      <c r="A22" s="163"/>
      <c r="B22" s="52"/>
      <c r="C22" s="31"/>
      <c r="D22" s="161"/>
    </row>
    <row r="23" spans="1:5" s="47" customFormat="1" ht="30" customHeight="1">
      <c r="A23" s="163"/>
      <c r="B23" s="52"/>
      <c r="C23" s="31"/>
      <c r="D23" s="161"/>
    </row>
    <row r="24" spans="1:5" s="47" customFormat="1" ht="30" customHeight="1">
      <c r="A24" s="163"/>
      <c r="B24" s="52"/>
      <c r="C24" s="31"/>
      <c r="D24" s="161"/>
    </row>
    <row r="25" spans="1:5" s="47" customFormat="1" ht="30" customHeight="1">
      <c r="A25" s="163"/>
      <c r="B25" s="52"/>
      <c r="C25" s="31"/>
      <c r="D25" s="161"/>
    </row>
    <row r="26" spans="1:5" s="47" customFormat="1" ht="30" customHeight="1">
      <c r="A26" s="163"/>
      <c r="B26" s="52"/>
      <c r="C26" s="31"/>
      <c r="D26" s="161"/>
    </row>
    <row r="27" spans="1:5" s="47" customFormat="1" ht="30" customHeight="1">
      <c r="A27" s="163"/>
      <c r="B27" s="52"/>
      <c r="C27" s="31"/>
      <c r="D27" s="161"/>
    </row>
    <row r="28" spans="1:5" s="72" customFormat="1" ht="30" customHeight="1">
      <c r="A28" s="163"/>
      <c r="B28" s="51"/>
      <c r="C28" s="31"/>
      <c r="D28" s="164"/>
    </row>
    <row r="29" spans="1:5" ht="33.6" customHeight="1" thickBot="1">
      <c r="A29" s="165"/>
      <c r="B29" s="166"/>
      <c r="C29" s="167"/>
      <c r="D29" s="168"/>
    </row>
    <row r="30" spans="1:5">
      <c r="A30" s="53"/>
      <c r="B30" s="53"/>
      <c r="C30" s="53"/>
      <c r="D30" s="53"/>
    </row>
    <row r="31" spans="1:5">
      <c r="A31" s="53"/>
      <c r="B31" s="53"/>
      <c r="C31" s="53"/>
      <c r="D31" s="53"/>
    </row>
    <row r="32" spans="1:5">
      <c r="A32" s="53"/>
      <c r="B32" s="53"/>
      <c r="C32" s="53"/>
      <c r="D32" s="53"/>
    </row>
    <row r="33" spans="1:4">
      <c r="A33" s="53"/>
      <c r="B33" s="53"/>
      <c r="C33" s="53"/>
      <c r="D33" s="53"/>
    </row>
    <row r="34" spans="1:4">
      <c r="A34" s="53"/>
      <c r="B34" s="53"/>
      <c r="C34" s="53"/>
      <c r="D34" s="53"/>
    </row>
    <row r="35" spans="1:4">
      <c r="A35" s="53"/>
      <c r="B35" s="53"/>
      <c r="C35" s="53"/>
      <c r="D35" s="53"/>
    </row>
    <row r="36" spans="1:4">
      <c r="A36" s="53"/>
      <c r="B36" s="53"/>
      <c r="C36" s="53"/>
      <c r="D36" s="53"/>
    </row>
    <row r="37" spans="1:4">
      <c r="A37" s="53"/>
      <c r="B37" s="53"/>
      <c r="C37" s="53"/>
      <c r="D37" s="53"/>
    </row>
    <row r="38" spans="1:4">
      <c r="A38" s="53"/>
      <c r="B38" s="53"/>
      <c r="C38" s="53"/>
      <c r="D38" s="53"/>
    </row>
    <row r="39" spans="1:4">
      <c r="A39" s="53"/>
      <c r="B39" s="53"/>
      <c r="C39" s="53"/>
      <c r="D39" s="53"/>
    </row>
    <row r="40" spans="1:4">
      <c r="A40" s="53"/>
      <c r="B40" s="53"/>
      <c r="C40" s="53"/>
      <c r="D40" s="53"/>
    </row>
    <row r="41" spans="1:4">
      <c r="A41" s="53"/>
      <c r="B41" s="53"/>
      <c r="C41" s="53"/>
      <c r="D41" s="53"/>
    </row>
    <row r="42" spans="1:4">
      <c r="A42" s="53"/>
      <c r="B42" s="53"/>
      <c r="C42" s="53"/>
      <c r="D42" s="53"/>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1" orientation="portrait" useFirstPageNumber="1" r:id="rId1"/>
  <headerFooter scaleWithDoc="0" alignWithMargins="0">
    <oddFooter>&amp;C&amp;"Arial Unicode MS,標準"&amp;P</oddFooter>
  </headerFooter>
</worksheet>
</file>

<file path=xl/worksheets/sheet17.xml><?xml version="1.0" encoding="utf-8"?>
<worksheet xmlns="http://schemas.openxmlformats.org/spreadsheetml/2006/main" xmlns:r="http://schemas.openxmlformats.org/officeDocument/2006/relationships">
  <sheetPr>
    <tabColor rgb="FFFFFFCC"/>
  </sheetPr>
  <dimension ref="A1:H41"/>
  <sheetViews>
    <sheetView zoomScaleNormal="100" workbookViewId="0">
      <selection activeCell="C11" sqref="C11"/>
    </sheetView>
  </sheetViews>
  <sheetFormatPr defaultColWidth="9" defaultRowHeight="16.5"/>
  <cols>
    <col min="1" max="1" width="10.625" style="30" customWidth="1"/>
    <col min="2" max="2" width="15.625" style="30" customWidth="1"/>
    <col min="3" max="3" width="20.625" style="30" customWidth="1"/>
    <col min="4" max="4" width="45.625" style="30" customWidth="1"/>
    <col min="5" max="5" width="9" style="30"/>
    <col min="6" max="6" width="12.375" style="30" bestFit="1" customWidth="1"/>
    <col min="7" max="16384" width="9" style="30"/>
  </cols>
  <sheetData>
    <row r="1" spans="1:8" ht="25.5">
      <c r="A1" s="1075" t="s">
        <v>144</v>
      </c>
      <c r="B1" s="1075"/>
      <c r="C1" s="1075"/>
      <c r="D1" s="1075"/>
      <c r="E1" s="32"/>
      <c r="F1" s="32"/>
      <c r="G1" s="32"/>
      <c r="H1" s="32"/>
    </row>
    <row r="2" spans="1:8" ht="21">
      <c r="A2" s="1076" t="s">
        <v>145</v>
      </c>
      <c r="B2" s="1076"/>
      <c r="C2" s="1076"/>
      <c r="D2" s="1076"/>
      <c r="E2" s="33"/>
      <c r="F2" s="33"/>
      <c r="G2" s="33"/>
      <c r="H2" s="33"/>
    </row>
    <row r="3" spans="1:8" ht="21">
      <c r="A3" s="1077" t="s">
        <v>789</v>
      </c>
      <c r="B3" s="1077"/>
      <c r="C3" s="1077"/>
      <c r="D3" s="1077"/>
      <c r="E3" s="542"/>
      <c r="F3" s="542"/>
      <c r="G3" s="542"/>
      <c r="H3" s="542"/>
    </row>
    <row r="4" spans="1:8" ht="19.5">
      <c r="A4" s="1078" t="s">
        <v>1077</v>
      </c>
      <c r="B4" s="1078"/>
      <c r="C4" s="1078"/>
      <c r="D4" s="1078"/>
      <c r="E4" s="35"/>
      <c r="F4" s="35"/>
      <c r="G4" s="35"/>
      <c r="H4" s="35"/>
    </row>
    <row r="5" spans="1:8" ht="17.25" thickBot="1">
      <c r="A5" s="32"/>
      <c r="B5" s="32"/>
      <c r="C5" s="32"/>
      <c r="D5" s="68" t="s">
        <v>619</v>
      </c>
      <c r="E5" s="32"/>
      <c r="F5" s="37"/>
    </row>
    <row r="6" spans="1:8" s="37" customFormat="1" ht="21" customHeight="1">
      <c r="A6" s="1079" t="s">
        <v>338</v>
      </c>
      <c r="B6" s="1080"/>
      <c r="C6" s="1083" t="s">
        <v>340</v>
      </c>
      <c r="D6" s="1085" t="s">
        <v>339</v>
      </c>
    </row>
    <row r="7" spans="1:8" s="37" customFormat="1" ht="21" customHeight="1">
      <c r="A7" s="1081"/>
      <c r="B7" s="1082"/>
      <c r="C7" s="1084"/>
      <c r="D7" s="1086"/>
    </row>
    <row r="8" spans="1:8" s="47" customFormat="1" ht="30" customHeight="1">
      <c r="A8" s="195" t="s">
        <v>788</v>
      </c>
      <c r="B8" s="173"/>
      <c r="C8" s="174">
        <f>SUM(C9)</f>
        <v>2000</v>
      </c>
      <c r="D8" s="175"/>
      <c r="F8" s="65"/>
    </row>
    <row r="9" spans="1:8" s="47" customFormat="1" ht="38.25" customHeight="1">
      <c r="A9" s="172" t="s">
        <v>790</v>
      </c>
      <c r="B9" s="173"/>
      <c r="C9" s="171">
        <v>2000</v>
      </c>
      <c r="D9" s="169" t="s">
        <v>1129</v>
      </c>
      <c r="F9" s="65"/>
    </row>
    <row r="10" spans="1:8" s="47" customFormat="1" ht="30" customHeight="1">
      <c r="A10" s="163"/>
      <c r="B10" s="52"/>
      <c r="C10" s="31"/>
      <c r="D10" s="568" t="s">
        <v>953</v>
      </c>
      <c r="E10" s="1074"/>
    </row>
    <row r="11" spans="1:8" s="47" customFormat="1" ht="30" customHeight="1">
      <c r="A11" s="163"/>
      <c r="B11" s="52"/>
      <c r="C11" s="31"/>
      <c r="D11" s="161"/>
      <c r="E11" s="1074"/>
    </row>
    <row r="12" spans="1:8" s="47" customFormat="1" ht="30" customHeight="1">
      <c r="A12" s="163"/>
      <c r="B12" s="52"/>
      <c r="C12" s="31"/>
      <c r="D12" s="169"/>
      <c r="E12" s="1074"/>
    </row>
    <row r="13" spans="1:8" s="47" customFormat="1" ht="30" customHeight="1">
      <c r="A13" s="163"/>
      <c r="B13" s="52"/>
      <c r="C13" s="31"/>
      <c r="D13" s="161"/>
      <c r="E13" s="1074"/>
    </row>
    <row r="14" spans="1:8" s="47" customFormat="1" ht="30" customHeight="1">
      <c r="A14" s="163"/>
      <c r="B14" s="52"/>
      <c r="C14" s="31"/>
      <c r="D14" s="161"/>
      <c r="E14" s="1074"/>
    </row>
    <row r="15" spans="1:8" s="47" customFormat="1" ht="30" customHeight="1">
      <c r="A15" s="150"/>
      <c r="B15" s="52"/>
      <c r="C15" s="31"/>
      <c r="D15" s="161"/>
      <c r="E15" s="1074"/>
    </row>
    <row r="16" spans="1:8" s="47" customFormat="1" ht="30" customHeight="1">
      <c r="A16" s="70"/>
      <c r="B16" s="52"/>
      <c r="C16" s="31"/>
      <c r="D16" s="162"/>
      <c r="E16" s="1074"/>
    </row>
    <row r="17" spans="1:5" s="47" customFormat="1" ht="30" customHeight="1">
      <c r="A17" s="163"/>
      <c r="B17" s="52"/>
      <c r="C17" s="31"/>
      <c r="D17" s="162"/>
      <c r="E17" s="1074"/>
    </row>
    <row r="18" spans="1:5" s="47" customFormat="1" ht="30" customHeight="1">
      <c r="A18" s="163"/>
      <c r="B18" s="52"/>
      <c r="C18" s="31"/>
      <c r="D18" s="161"/>
      <c r="E18" s="1074"/>
    </row>
    <row r="19" spans="1:5" s="47" customFormat="1" ht="30" customHeight="1">
      <c r="A19" s="163"/>
      <c r="B19" s="52"/>
      <c r="C19" s="31"/>
      <c r="D19" s="161"/>
    </row>
    <row r="20" spans="1:5" s="47" customFormat="1" ht="30" customHeight="1">
      <c r="A20" s="163"/>
      <c r="B20" s="52"/>
      <c r="C20" s="31"/>
      <c r="D20" s="161"/>
    </row>
    <row r="21" spans="1:5" s="47" customFormat="1" ht="30" customHeight="1">
      <c r="A21" s="163"/>
      <c r="B21" s="52"/>
      <c r="C21" s="31"/>
      <c r="D21" s="161"/>
    </row>
    <row r="22" spans="1:5" s="47" customFormat="1" ht="30" customHeight="1">
      <c r="A22" s="163"/>
      <c r="B22" s="52"/>
      <c r="C22" s="31"/>
      <c r="D22" s="161"/>
    </row>
    <row r="23" spans="1:5" s="47" customFormat="1" ht="30" customHeight="1">
      <c r="A23" s="163"/>
      <c r="B23" s="52"/>
      <c r="C23" s="31"/>
      <c r="D23" s="161"/>
    </row>
    <row r="24" spans="1:5" s="47" customFormat="1" ht="30" customHeight="1">
      <c r="A24" s="163"/>
      <c r="B24" s="52"/>
      <c r="C24" s="31"/>
      <c r="D24" s="161"/>
    </row>
    <row r="25" spans="1:5" s="47" customFormat="1" ht="30" customHeight="1">
      <c r="A25" s="163"/>
      <c r="B25" s="52"/>
      <c r="C25" s="31"/>
      <c r="D25" s="161"/>
    </row>
    <row r="26" spans="1:5" s="47" customFormat="1" ht="30" customHeight="1">
      <c r="A26" s="163"/>
      <c r="B26" s="52"/>
      <c r="C26" s="31"/>
      <c r="D26" s="161"/>
    </row>
    <row r="27" spans="1:5" s="72" customFormat="1" ht="30" customHeight="1">
      <c r="A27" s="163"/>
      <c r="B27" s="51"/>
      <c r="C27" s="31"/>
      <c r="D27" s="164"/>
    </row>
    <row r="28" spans="1:5" ht="49.5" customHeight="1" thickBot="1">
      <c r="A28" s="165"/>
      <c r="B28" s="166"/>
      <c r="C28" s="167"/>
      <c r="D28" s="168"/>
    </row>
    <row r="29" spans="1:5">
      <c r="A29" s="53"/>
      <c r="B29" s="53"/>
      <c r="C29" s="53"/>
      <c r="D29" s="53"/>
    </row>
    <row r="30" spans="1:5">
      <c r="A30" s="53"/>
      <c r="B30" s="53"/>
      <c r="C30" s="53"/>
      <c r="D30" s="53"/>
    </row>
    <row r="31" spans="1:5">
      <c r="A31" s="53"/>
      <c r="B31" s="53"/>
      <c r="C31" s="53"/>
      <c r="D31" s="53"/>
    </row>
    <row r="32" spans="1:5">
      <c r="A32" s="53"/>
      <c r="B32" s="53"/>
      <c r="C32" s="53"/>
      <c r="D32" s="53"/>
    </row>
    <row r="33" spans="1:4">
      <c r="A33" s="53"/>
      <c r="B33" s="53"/>
      <c r="C33" s="53"/>
      <c r="D33" s="53"/>
    </row>
    <row r="34" spans="1:4">
      <c r="A34" s="53"/>
      <c r="B34" s="53"/>
      <c r="C34" s="53"/>
      <c r="D34" s="53"/>
    </row>
    <row r="35" spans="1:4">
      <c r="A35" s="53"/>
      <c r="B35" s="53"/>
      <c r="C35" s="53"/>
      <c r="D35" s="53"/>
    </row>
    <row r="36" spans="1:4">
      <c r="A36" s="53"/>
      <c r="B36" s="53"/>
      <c r="C36" s="53"/>
      <c r="D36" s="53"/>
    </row>
    <row r="37" spans="1:4">
      <c r="A37" s="53"/>
      <c r="B37" s="53"/>
      <c r="C37" s="53"/>
      <c r="D37" s="53"/>
    </row>
    <row r="38" spans="1:4">
      <c r="A38" s="53"/>
      <c r="B38" s="53"/>
      <c r="C38" s="53"/>
      <c r="D38" s="53"/>
    </row>
    <row r="39" spans="1:4">
      <c r="A39" s="53"/>
      <c r="B39" s="53"/>
      <c r="C39" s="53"/>
      <c r="D39" s="53"/>
    </row>
    <row r="40" spans="1:4">
      <c r="A40" s="53"/>
      <c r="B40" s="53"/>
      <c r="C40" s="53"/>
      <c r="D40" s="53"/>
    </row>
    <row r="41" spans="1:4">
      <c r="A41" s="53"/>
      <c r="B41" s="53"/>
      <c r="C41" s="53"/>
      <c r="D41" s="53"/>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2" orientation="portrait" useFirstPageNumber="1" r:id="rId1"/>
  <headerFooter scaleWithDoc="0" alignWithMargins="0">
    <oddFooter>&amp;C&amp;"Arial Unicode MS,標準"&amp;P</oddFooter>
  </headerFooter>
</worksheet>
</file>

<file path=xl/worksheets/sheet18.xml><?xml version="1.0" encoding="utf-8"?>
<worksheet xmlns="http://schemas.openxmlformats.org/spreadsheetml/2006/main" xmlns:r="http://schemas.openxmlformats.org/officeDocument/2006/relationships">
  <sheetPr codeName="Sheet17">
    <tabColor rgb="FFFFFFCC"/>
  </sheetPr>
  <dimension ref="A1:L34"/>
  <sheetViews>
    <sheetView zoomScaleNormal="100" workbookViewId="0">
      <selection activeCell="L29" sqref="L29:L30"/>
    </sheetView>
  </sheetViews>
  <sheetFormatPr defaultColWidth="9" defaultRowHeight="16.5"/>
  <cols>
    <col min="1" max="1" width="6.875" style="64" customWidth="1"/>
    <col min="2" max="2" width="15.875" style="64" customWidth="1"/>
    <col min="3" max="3" width="4.125" style="64" customWidth="1"/>
    <col min="4" max="4" width="6.25" style="64" customWidth="1"/>
    <col min="5" max="5" width="5" style="64" customWidth="1"/>
    <col min="6" max="6" width="10.75" style="64" customWidth="1"/>
    <col min="7" max="7" width="6.375" style="64" customWidth="1"/>
    <col min="8" max="8" width="4.625" style="64" customWidth="1"/>
    <col min="9" max="9" width="11.75" style="64" customWidth="1"/>
    <col min="10" max="10" width="5.75" style="64" customWidth="1"/>
    <col min="11" max="11" width="5" style="64" customWidth="1"/>
    <col min="12" max="12" width="10.75" style="64" customWidth="1"/>
    <col min="13" max="16384" width="9" style="64"/>
  </cols>
  <sheetData>
    <row r="1" spans="1:12" ht="25.5">
      <c r="A1" s="1108" t="s">
        <v>144</v>
      </c>
      <c r="B1" s="1108"/>
      <c r="C1" s="1108"/>
      <c r="D1" s="1108"/>
      <c r="E1" s="1108"/>
      <c r="F1" s="1108"/>
      <c r="G1" s="1108"/>
      <c r="H1" s="1108"/>
      <c r="I1" s="1108"/>
      <c r="J1" s="1108"/>
      <c r="K1" s="1108"/>
      <c r="L1" s="1108"/>
    </row>
    <row r="2" spans="1:12" ht="21">
      <c r="A2" s="1109" t="s">
        <v>145</v>
      </c>
      <c r="B2" s="1109"/>
      <c r="C2" s="1109"/>
      <c r="D2" s="1109"/>
      <c r="E2" s="1109"/>
      <c r="F2" s="1109"/>
      <c r="G2" s="1109"/>
      <c r="H2" s="1109"/>
      <c r="I2" s="1109"/>
      <c r="J2" s="1109"/>
      <c r="K2" s="1109"/>
      <c r="L2" s="1109"/>
    </row>
    <row r="3" spans="1:12" ht="21">
      <c r="A3" s="1110" t="s">
        <v>316</v>
      </c>
      <c r="B3" s="1110"/>
      <c r="C3" s="1110"/>
      <c r="D3" s="1110"/>
      <c r="E3" s="1110"/>
      <c r="F3" s="1110"/>
      <c r="G3" s="1110"/>
      <c r="H3" s="1110"/>
      <c r="I3" s="1110"/>
      <c r="J3" s="1110"/>
      <c r="K3" s="1110"/>
      <c r="L3" s="1110"/>
    </row>
    <row r="4" spans="1:12" ht="19.5">
      <c r="A4" s="1111" t="s">
        <v>1077</v>
      </c>
      <c r="B4" s="1111"/>
      <c r="C4" s="1111"/>
      <c r="D4" s="1111"/>
      <c r="E4" s="1111"/>
      <c r="F4" s="1111"/>
      <c r="G4" s="1111"/>
      <c r="H4" s="1111"/>
      <c r="I4" s="1111"/>
      <c r="J4" s="1111"/>
      <c r="K4" s="1111"/>
      <c r="L4" s="1111"/>
    </row>
    <row r="5" spans="1:12" ht="17.25" thickBot="1">
      <c r="A5" s="835"/>
      <c r="B5" s="835"/>
      <c r="C5" s="835"/>
      <c r="D5" s="835"/>
      <c r="E5" s="835"/>
      <c r="F5" s="836"/>
      <c r="G5" s="836"/>
      <c r="H5" s="836"/>
      <c r="I5" s="1106" t="s">
        <v>621</v>
      </c>
      <c r="J5" s="1107"/>
      <c r="K5" s="1107"/>
      <c r="L5" s="1107"/>
    </row>
    <row r="6" spans="1:12" s="86" customFormat="1" ht="23.25" customHeight="1">
      <c r="A6" s="1091" t="s">
        <v>274</v>
      </c>
      <c r="B6" s="1092"/>
      <c r="C6" s="1112" t="s">
        <v>275</v>
      </c>
      <c r="D6" s="1092" t="s">
        <v>343</v>
      </c>
      <c r="E6" s="1092"/>
      <c r="F6" s="1092"/>
      <c r="G6" s="1092" t="s">
        <v>344</v>
      </c>
      <c r="H6" s="1092"/>
      <c r="I6" s="1092"/>
      <c r="J6" s="1092" t="s">
        <v>345</v>
      </c>
      <c r="K6" s="1092"/>
      <c r="L6" s="1105"/>
    </row>
    <row r="7" spans="1:12" s="86" customFormat="1" ht="61.5" customHeight="1">
      <c r="A7" s="1093"/>
      <c r="B7" s="1094"/>
      <c r="C7" s="1113"/>
      <c r="D7" s="876" t="s">
        <v>276</v>
      </c>
      <c r="E7" s="877" t="s">
        <v>277</v>
      </c>
      <c r="F7" s="878" t="s">
        <v>278</v>
      </c>
      <c r="G7" s="876" t="s">
        <v>276</v>
      </c>
      <c r="H7" s="877" t="s">
        <v>277</v>
      </c>
      <c r="I7" s="878" t="s">
        <v>278</v>
      </c>
      <c r="J7" s="876" t="s">
        <v>276</v>
      </c>
      <c r="K7" s="877" t="s">
        <v>277</v>
      </c>
      <c r="L7" s="879" t="s">
        <v>278</v>
      </c>
    </row>
    <row r="8" spans="1:12" s="884" customFormat="1" ht="23.65" customHeight="1">
      <c r="A8" s="880" t="s">
        <v>216</v>
      </c>
      <c r="B8" s="881"/>
      <c r="C8" s="882" t="s">
        <v>833</v>
      </c>
      <c r="D8" s="727">
        <f>'19.勞務收入明細'!D8</f>
        <v>460025</v>
      </c>
      <c r="E8" s="637">
        <f>(F8/D8)*1000</f>
        <v>1307.350687462638</v>
      </c>
      <c r="F8" s="728">
        <f>F9</f>
        <v>601414</v>
      </c>
      <c r="G8" s="734">
        <v>465758</v>
      </c>
      <c r="H8" s="637">
        <f>(I8/G8)*1000</f>
        <v>1296.1988843991944</v>
      </c>
      <c r="I8" s="728">
        <f>I9</f>
        <v>603715</v>
      </c>
      <c r="J8" s="734">
        <v>431408</v>
      </c>
      <c r="K8" s="637">
        <f>(L8/J8)*1000</f>
        <v>1328.4779141786894</v>
      </c>
      <c r="L8" s="883">
        <f>L9</f>
        <v>573116</v>
      </c>
    </row>
    <row r="9" spans="1:12" s="886" customFormat="1" ht="23.65" customHeight="1">
      <c r="A9" s="772" t="s">
        <v>342</v>
      </c>
      <c r="B9" s="574"/>
      <c r="C9" s="575"/>
      <c r="D9" s="638"/>
      <c r="E9" s="638"/>
      <c r="F9" s="729">
        <f>SUM(F10,F20,F23,F28)</f>
        <v>601414</v>
      </c>
      <c r="G9" s="639"/>
      <c r="H9" s="640"/>
      <c r="I9" s="729">
        <f>SUM(I10,I20,I23,I28)</f>
        <v>603715</v>
      </c>
      <c r="J9" s="640"/>
      <c r="K9" s="639"/>
      <c r="L9" s="885">
        <f>SUM(L10,L20,L23,L28,L31)+1</f>
        <v>573116</v>
      </c>
    </row>
    <row r="10" spans="1:12" s="888" customFormat="1" ht="23.65" customHeight="1">
      <c r="A10" s="576" t="s">
        <v>281</v>
      </c>
      <c r="B10" s="577"/>
      <c r="C10" s="409"/>
      <c r="D10" s="641"/>
      <c r="E10" s="641"/>
      <c r="F10" s="730">
        <f>SUM(F11:F19)</f>
        <v>529733</v>
      </c>
      <c r="G10" s="642"/>
      <c r="H10" s="642"/>
      <c r="I10" s="730">
        <f>SUM(I11:I19)</f>
        <v>531268</v>
      </c>
      <c r="J10" s="642"/>
      <c r="K10" s="643"/>
      <c r="L10" s="887">
        <f>SUM(L11:L19)+1</f>
        <v>505523</v>
      </c>
    </row>
    <row r="11" spans="1:12" s="888" customFormat="1" ht="23.65" customHeight="1">
      <c r="A11" s="578" t="s">
        <v>141</v>
      </c>
      <c r="B11" s="579"/>
      <c r="C11" s="402"/>
      <c r="D11" s="627"/>
      <c r="E11" s="627"/>
      <c r="F11" s="627">
        <f>'42.各項費用彙計表(6級)'!F9</f>
        <v>12000</v>
      </c>
      <c r="G11" s="593"/>
      <c r="H11" s="593"/>
      <c r="I11" s="627">
        <f>'21-22.勞務成本明細7級'!D10</f>
        <v>11620</v>
      </c>
      <c r="J11" s="593"/>
      <c r="K11" s="644"/>
      <c r="L11" s="889">
        <f>'21-22.勞務成本明細7級'!C10</f>
        <v>10991</v>
      </c>
    </row>
    <row r="12" spans="1:12" s="888" customFormat="1" ht="23.65" customHeight="1">
      <c r="A12" s="578" t="s">
        <v>293</v>
      </c>
      <c r="B12" s="583"/>
      <c r="C12" s="584"/>
      <c r="D12" s="419"/>
      <c r="E12" s="419"/>
      <c r="F12" s="627">
        <f>'42.各項費用彙計表(6級)'!F10</f>
        <v>11463</v>
      </c>
      <c r="G12" s="593"/>
      <c r="H12" s="593"/>
      <c r="I12" s="627">
        <f>'21-22.勞務成本明細7級'!D14</f>
        <v>17913</v>
      </c>
      <c r="J12" s="593"/>
      <c r="K12" s="644"/>
      <c r="L12" s="889">
        <f>'21-22.勞務成本明細7級'!C14</f>
        <v>9161</v>
      </c>
    </row>
    <row r="13" spans="1:12" s="888" customFormat="1" ht="23.65" customHeight="1">
      <c r="A13" s="578" t="s">
        <v>294</v>
      </c>
      <c r="B13" s="583"/>
      <c r="C13" s="584"/>
      <c r="D13" s="419"/>
      <c r="E13" s="419"/>
      <c r="F13" s="627">
        <f>'42.各項費用彙計表(6級)'!F11</f>
        <v>5024</v>
      </c>
      <c r="G13" s="593"/>
      <c r="H13" s="593"/>
      <c r="I13" s="627">
        <f>'21-22.勞務成本明細7級'!D18</f>
        <v>5027</v>
      </c>
      <c r="J13" s="593"/>
      <c r="K13" s="644"/>
      <c r="L13" s="889">
        <f>'21-22.勞務成本明細7級'!C18</f>
        <v>4515</v>
      </c>
    </row>
    <row r="14" spans="1:12" s="888" customFormat="1" ht="23.65" customHeight="1">
      <c r="A14" s="578" t="s">
        <v>295</v>
      </c>
      <c r="B14" s="583"/>
      <c r="C14" s="584"/>
      <c r="D14" s="419"/>
      <c r="E14" s="419"/>
      <c r="F14" s="627">
        <f>'42.各項費用彙計表(6級)'!F12</f>
        <v>10951</v>
      </c>
      <c r="G14" s="593"/>
      <c r="H14" s="593"/>
      <c r="I14" s="627">
        <f>'21-22.勞務成本明細7級'!D22</f>
        <v>10783</v>
      </c>
      <c r="J14" s="593"/>
      <c r="K14" s="644"/>
      <c r="L14" s="889">
        <f>'21-22.勞務成本明細7級'!C22</f>
        <v>10889</v>
      </c>
    </row>
    <row r="15" spans="1:12" s="888" customFormat="1" ht="23.65" customHeight="1">
      <c r="A15" s="585" t="s">
        <v>296</v>
      </c>
      <c r="B15" s="583"/>
      <c r="C15" s="584"/>
      <c r="D15" s="419"/>
      <c r="E15" s="419"/>
      <c r="F15" s="627">
        <f>'42.各項費用彙計表(6級)'!F13</f>
        <v>9639</v>
      </c>
      <c r="G15" s="593"/>
      <c r="H15" s="593"/>
      <c r="I15" s="627">
        <f>'21-22.勞務成本明細7級'!D26</f>
        <v>16142</v>
      </c>
      <c r="J15" s="593"/>
      <c r="K15" s="644"/>
      <c r="L15" s="889">
        <f>'21-22.勞務成本明細7級'!C26</f>
        <v>15550</v>
      </c>
    </row>
    <row r="16" spans="1:12" s="888" customFormat="1" ht="23.65" customHeight="1">
      <c r="A16" s="585" t="s">
        <v>290</v>
      </c>
      <c r="B16" s="583"/>
      <c r="C16" s="584"/>
      <c r="D16" s="419"/>
      <c r="E16" s="419"/>
      <c r="F16" s="627">
        <f>'42.各項費用彙計表(6級)'!F14</f>
        <v>74</v>
      </c>
      <c r="G16" s="593"/>
      <c r="H16" s="593"/>
      <c r="I16" s="627">
        <f>'21-22.勞務成本明細7級'!D31</f>
        <v>128</v>
      </c>
      <c r="J16" s="593"/>
      <c r="K16" s="644"/>
      <c r="L16" s="889">
        <f>'21-22.勞務成本明細7級'!C31</f>
        <v>54</v>
      </c>
    </row>
    <row r="17" spans="1:12" s="888" customFormat="1" ht="23.65" customHeight="1">
      <c r="A17" s="1097" t="s">
        <v>280</v>
      </c>
      <c r="B17" s="1096"/>
      <c r="C17" s="586"/>
      <c r="D17" s="645"/>
      <c r="E17" s="645"/>
      <c r="F17" s="731">
        <f>'42.各項費用彙計表(6級)'!F15</f>
        <v>121591</v>
      </c>
      <c r="G17" s="642"/>
      <c r="H17" s="642"/>
      <c r="I17" s="731">
        <f>'21-22.勞務成本明細7級'!D34</f>
        <v>104559</v>
      </c>
      <c r="J17" s="642"/>
      <c r="K17" s="643"/>
      <c r="L17" s="890">
        <f>'21-22.勞務成本明細7級'!C34</f>
        <v>113331</v>
      </c>
    </row>
    <row r="18" spans="1:12" s="888" customFormat="1" ht="23.65" customHeight="1">
      <c r="A18" s="585" t="s">
        <v>282</v>
      </c>
      <c r="B18" s="891"/>
      <c r="C18" s="892"/>
      <c r="D18" s="646"/>
      <c r="E18" s="646"/>
      <c r="F18" s="731">
        <f>'42.各項費用彙計表(6級)'!F16</f>
        <v>358691</v>
      </c>
      <c r="G18" s="642"/>
      <c r="H18" s="642"/>
      <c r="I18" s="731">
        <f>'21-22.勞務成本明細7級'!D39</f>
        <v>364796</v>
      </c>
      <c r="J18" s="642"/>
      <c r="K18" s="643"/>
      <c r="L18" s="890">
        <f>'21-22.勞務成本明細7級'!C39</f>
        <v>340845</v>
      </c>
    </row>
    <row r="19" spans="1:12" s="888" customFormat="1" ht="23.65" customHeight="1">
      <c r="A19" s="585" t="s">
        <v>291</v>
      </c>
      <c r="B19" s="583"/>
      <c r="C19" s="584"/>
      <c r="D19" s="419"/>
      <c r="E19" s="419"/>
      <c r="F19" s="627">
        <f>'42.各項費用彙計表(6級)'!F17</f>
        <v>300</v>
      </c>
      <c r="G19" s="593"/>
      <c r="H19" s="593"/>
      <c r="I19" s="627">
        <f>'21-22.勞務成本明細7級'!D49</f>
        <v>300</v>
      </c>
      <c r="J19" s="593"/>
      <c r="K19" s="644"/>
      <c r="L19" s="889">
        <f>'21-22.勞務成本明細7級'!C49</f>
        <v>186</v>
      </c>
    </row>
    <row r="20" spans="1:12" s="894" customFormat="1" ht="23.65" customHeight="1">
      <c r="A20" s="1098" t="s">
        <v>283</v>
      </c>
      <c r="B20" s="1099"/>
      <c r="C20" s="587"/>
      <c r="D20" s="647"/>
      <c r="E20" s="647"/>
      <c r="F20" s="641">
        <f>SUM(F21:F22)</f>
        <v>26342</v>
      </c>
      <c r="G20" s="593"/>
      <c r="H20" s="593"/>
      <c r="I20" s="641">
        <f>SUM(I21:I22)</f>
        <v>22211</v>
      </c>
      <c r="J20" s="593"/>
      <c r="K20" s="644"/>
      <c r="L20" s="893">
        <f>SUM(L21:L22)</f>
        <v>23586</v>
      </c>
    </row>
    <row r="21" spans="1:12" s="894" customFormat="1" ht="23.65" customHeight="1">
      <c r="A21" s="771" t="s">
        <v>284</v>
      </c>
      <c r="B21" s="773"/>
      <c r="C21" s="587"/>
      <c r="D21" s="647"/>
      <c r="E21" s="647"/>
      <c r="F21" s="627">
        <f>'42.各項費用彙計表(6級)'!F19</f>
        <v>1063</v>
      </c>
      <c r="G21" s="593"/>
      <c r="H21" s="593"/>
      <c r="I21" s="627">
        <f>'21-22.勞務成本明細7級'!D52</f>
        <v>997</v>
      </c>
      <c r="J21" s="593"/>
      <c r="K21" s="644"/>
      <c r="L21" s="889">
        <f>'21-22.勞務成本明細7級'!C52</f>
        <v>1166</v>
      </c>
    </row>
    <row r="22" spans="1:12" s="894" customFormat="1" ht="23.65" customHeight="1">
      <c r="A22" s="1095" t="s">
        <v>285</v>
      </c>
      <c r="B22" s="1096"/>
      <c r="C22" s="586"/>
      <c r="D22" s="586"/>
      <c r="E22" s="586"/>
      <c r="F22" s="402">
        <f>'42.各項費用彙計表(6級)'!F20</f>
        <v>25279</v>
      </c>
      <c r="G22" s="581"/>
      <c r="H22" s="581"/>
      <c r="I22" s="402">
        <f>'21-22.勞務成本明細7級'!D55</f>
        <v>21214</v>
      </c>
      <c r="J22" s="581"/>
      <c r="K22" s="582"/>
      <c r="L22" s="403">
        <f>'21-22.勞務成本明細7級'!C55</f>
        <v>22420</v>
      </c>
    </row>
    <row r="23" spans="1:12" s="894" customFormat="1" ht="23.65" customHeight="1">
      <c r="A23" s="576" t="s">
        <v>286</v>
      </c>
      <c r="B23" s="589"/>
      <c r="C23" s="590"/>
      <c r="D23" s="590"/>
      <c r="E23" s="590"/>
      <c r="F23" s="409">
        <f>SUM(F24:F27)</f>
        <v>15339</v>
      </c>
      <c r="G23" s="581"/>
      <c r="H23" s="581"/>
      <c r="I23" s="409">
        <f>SUM(I24:I27)</f>
        <v>16236</v>
      </c>
      <c r="J23" s="581"/>
      <c r="K23" s="582"/>
      <c r="L23" s="410">
        <f>SUM(L24:L27)-1</f>
        <v>14715</v>
      </c>
    </row>
    <row r="24" spans="1:12" s="894" customFormat="1" ht="23.65" customHeight="1">
      <c r="A24" s="585" t="s">
        <v>292</v>
      </c>
      <c r="B24" s="583"/>
      <c r="C24" s="584"/>
      <c r="D24" s="584"/>
      <c r="E24" s="584"/>
      <c r="F24" s="402">
        <f>'42.各項費用彙計表(6級)'!F23</f>
        <v>2006</v>
      </c>
      <c r="G24" s="581"/>
      <c r="H24" s="581"/>
      <c r="I24" s="402">
        <f>'21-22.勞務成本明細7級'!D65</f>
        <v>2089</v>
      </c>
      <c r="J24" s="581"/>
      <c r="K24" s="582"/>
      <c r="L24" s="403">
        <f>'21-22.勞務成本明細7級'!C65</f>
        <v>1890</v>
      </c>
    </row>
    <row r="25" spans="1:12" s="894" customFormat="1" ht="23.65" customHeight="1">
      <c r="A25" s="585" t="s">
        <v>287</v>
      </c>
      <c r="B25" s="583"/>
      <c r="C25" s="584"/>
      <c r="D25" s="584"/>
      <c r="E25" s="584"/>
      <c r="F25" s="402">
        <f>'42.各項費用彙計表(6級)'!F24</f>
        <v>9083</v>
      </c>
      <c r="G25" s="581"/>
      <c r="H25" s="581"/>
      <c r="I25" s="402">
        <f>'21-22.勞務成本明細7級'!D67</f>
        <v>9731</v>
      </c>
      <c r="J25" s="581"/>
      <c r="K25" s="582"/>
      <c r="L25" s="403">
        <f>'21-22.勞務成本明細7級'!C67</f>
        <v>8811</v>
      </c>
    </row>
    <row r="26" spans="1:12" s="894" customFormat="1" ht="23.65" customHeight="1">
      <c r="A26" s="1087" t="s">
        <v>288</v>
      </c>
      <c r="B26" s="1088"/>
      <c r="C26" s="584"/>
      <c r="D26" s="584"/>
      <c r="E26" s="584"/>
      <c r="F26" s="355">
        <f>'42.各項費用彙計表(6級)'!F25</f>
        <v>4077</v>
      </c>
      <c r="G26" s="592"/>
      <c r="H26" s="592"/>
      <c r="I26" s="355">
        <f>'21-22.勞務成本明細7級'!D70</f>
        <v>4248</v>
      </c>
      <c r="J26" s="592"/>
      <c r="K26" s="582"/>
      <c r="L26" s="895">
        <f>'21-22.勞務成本明細7級'!C70</f>
        <v>3845</v>
      </c>
    </row>
    <row r="27" spans="1:12" s="894" customFormat="1" ht="23.65" customHeight="1">
      <c r="A27" s="1087" t="s">
        <v>434</v>
      </c>
      <c r="B27" s="1088"/>
      <c r="C27" s="584"/>
      <c r="D27" s="584"/>
      <c r="E27" s="584"/>
      <c r="F27" s="402">
        <f>'42.各項費用彙計表(6級)'!F26</f>
        <v>173</v>
      </c>
      <c r="G27" s="592"/>
      <c r="H27" s="592"/>
      <c r="I27" s="402">
        <f>'21-22.勞務成本明細7級'!D72</f>
        <v>168</v>
      </c>
      <c r="J27" s="592"/>
      <c r="K27" s="582"/>
      <c r="L27" s="895">
        <f>'21-22.勞務成本明細7級'!C72</f>
        <v>170</v>
      </c>
    </row>
    <row r="28" spans="1:12" s="894" customFormat="1" ht="23.65" customHeight="1">
      <c r="A28" s="576" t="s">
        <v>1009</v>
      </c>
      <c r="B28" s="589"/>
      <c r="C28" s="590"/>
      <c r="D28" s="590"/>
      <c r="E28" s="590"/>
      <c r="F28" s="409">
        <f>SUM(F29:F30)</f>
        <v>30000</v>
      </c>
      <c r="G28" s="581"/>
      <c r="H28" s="581"/>
      <c r="I28" s="409">
        <f>SUM(I29:I30)</f>
        <v>34000</v>
      </c>
      <c r="J28" s="581"/>
      <c r="K28" s="582"/>
      <c r="L28" s="410">
        <f>SUM(L29:L30)</f>
        <v>29288</v>
      </c>
    </row>
    <row r="29" spans="1:12" s="894" customFormat="1" ht="31.9" customHeight="1">
      <c r="A29" s="1101" t="s">
        <v>970</v>
      </c>
      <c r="B29" s="1102"/>
      <c r="C29" s="584"/>
      <c r="D29" s="584"/>
      <c r="E29" s="584"/>
      <c r="F29" s="732">
        <f>'42.各項費用彙計表(6級)'!F28</f>
        <v>15994</v>
      </c>
      <c r="G29" s="719"/>
      <c r="H29" s="719"/>
      <c r="I29" s="732">
        <f>'21-22.勞務成本明細7級'!D75</f>
        <v>19994</v>
      </c>
      <c r="J29" s="719"/>
      <c r="K29" s="720"/>
      <c r="L29" s="896">
        <f>'21-22.勞務成本明細7級'!C75</f>
        <v>15778</v>
      </c>
    </row>
    <row r="30" spans="1:12" s="894" customFormat="1" ht="23.65" customHeight="1">
      <c r="A30" s="1095" t="s">
        <v>289</v>
      </c>
      <c r="B30" s="1100"/>
      <c r="C30" s="721"/>
      <c r="D30" s="721"/>
      <c r="E30" s="721"/>
      <c r="F30" s="627">
        <f>'42.各項費用彙計表(6級)'!F29</f>
        <v>14006</v>
      </c>
      <c r="G30" s="593"/>
      <c r="H30" s="593"/>
      <c r="I30" s="627">
        <f>'21-22.勞務成本明細7級'!D79</f>
        <v>14006</v>
      </c>
      <c r="J30" s="593"/>
      <c r="K30" s="582"/>
      <c r="L30" s="889">
        <f>'21-22.勞務成本明細7級'!C79</f>
        <v>13510</v>
      </c>
    </row>
    <row r="31" spans="1:12" s="894" customFormat="1" ht="23.65" customHeight="1">
      <c r="A31" s="764" t="s">
        <v>1010</v>
      </c>
      <c r="B31" s="589"/>
      <c r="C31" s="590"/>
      <c r="D31" s="590"/>
      <c r="E31" s="590"/>
      <c r="F31" s="409">
        <f>F32</f>
        <v>0</v>
      </c>
      <c r="G31" s="765"/>
      <c r="H31" s="765"/>
      <c r="I31" s="409">
        <f>I32</f>
        <v>0</v>
      </c>
      <c r="J31" s="581"/>
      <c r="K31" s="582"/>
      <c r="L31" s="410">
        <f>L32</f>
        <v>3</v>
      </c>
    </row>
    <row r="32" spans="1:12" s="897" customFormat="1" ht="23.65" customHeight="1">
      <c r="A32" s="1103" t="s">
        <v>808</v>
      </c>
      <c r="B32" s="1104"/>
      <c r="C32" s="584"/>
      <c r="D32" s="584"/>
      <c r="E32" s="584"/>
      <c r="F32" s="627">
        <v>0</v>
      </c>
      <c r="G32" s="593"/>
      <c r="H32" s="593"/>
      <c r="I32" s="627">
        <v>0</v>
      </c>
      <c r="J32" s="593"/>
      <c r="K32" s="582"/>
      <c r="L32" s="889">
        <f>'21-22.勞務成本明細7級'!C88</f>
        <v>3</v>
      </c>
    </row>
    <row r="33" spans="1:12" s="897" customFormat="1" ht="23.65" customHeight="1">
      <c r="A33" s="774"/>
      <c r="B33" s="898"/>
      <c r="C33" s="584"/>
      <c r="D33" s="584"/>
      <c r="E33" s="584"/>
      <c r="F33" s="627"/>
      <c r="G33" s="593"/>
      <c r="H33" s="593"/>
      <c r="I33" s="627"/>
      <c r="J33" s="593"/>
      <c r="K33" s="582"/>
      <c r="L33" s="889"/>
    </row>
    <row r="34" spans="1:12" s="900" customFormat="1" ht="23.65" customHeight="1" thickBot="1">
      <c r="A34" s="1089" t="s">
        <v>423</v>
      </c>
      <c r="B34" s="1090"/>
      <c r="C34" s="264"/>
      <c r="D34" s="264"/>
      <c r="E34" s="264"/>
      <c r="F34" s="733">
        <f>F9</f>
        <v>601414</v>
      </c>
      <c r="G34" s="444"/>
      <c r="H34" s="444"/>
      <c r="I34" s="733">
        <f>I9</f>
        <v>603715</v>
      </c>
      <c r="J34" s="444"/>
      <c r="K34" s="445"/>
      <c r="L34" s="899">
        <f>L9</f>
        <v>573116</v>
      </c>
    </row>
  </sheetData>
  <mergeCells count="19">
    <mergeCell ref="G6:I6"/>
    <mergeCell ref="J6:L6"/>
    <mergeCell ref="I5:L5"/>
    <mergeCell ref="A1:L1"/>
    <mergeCell ref="A2:L2"/>
    <mergeCell ref="A3:L3"/>
    <mergeCell ref="A4:L4"/>
    <mergeCell ref="C6:C7"/>
    <mergeCell ref="D6:F6"/>
    <mergeCell ref="A27:B27"/>
    <mergeCell ref="A34:B34"/>
    <mergeCell ref="A6:B7"/>
    <mergeCell ref="A22:B22"/>
    <mergeCell ref="A17:B17"/>
    <mergeCell ref="A20:B20"/>
    <mergeCell ref="A26:B26"/>
    <mergeCell ref="A30:B30"/>
    <mergeCell ref="A29:B29"/>
    <mergeCell ref="A32:B32"/>
  </mergeCells>
  <phoneticPr fontId="2" type="noConversion"/>
  <printOptions horizontalCentered="1"/>
  <pageMargins left="0.6692913385826772" right="0.6692913385826772" top="0.51181102362204722" bottom="0.51181102362204722" header="0.51181102362204722" footer="0.31496062992125984"/>
  <pageSetup paperSize="9" scale="94" firstPageNumber="23" orientation="portrait" blackAndWhite="1" useFirstPageNumber="1" r:id="rId1"/>
  <headerFooter scaleWithDoc="0" alignWithMargins="0">
    <oddFooter>&amp;C&amp;"Arial Unicode MS,標準"&amp;P</oddFooter>
  </headerFooter>
</worksheet>
</file>

<file path=xl/worksheets/sheet19.xml><?xml version="1.0" encoding="utf-8"?>
<worksheet xmlns="http://schemas.openxmlformats.org/spreadsheetml/2006/main" xmlns:r="http://schemas.openxmlformats.org/officeDocument/2006/relationships">
  <sheetPr>
    <tabColor indexed="42"/>
  </sheetPr>
  <dimension ref="A1:O95"/>
  <sheetViews>
    <sheetView view="pageBreakPreview" zoomScaleNormal="75" zoomScaleSheetLayoutView="100" workbookViewId="0">
      <selection activeCell="F16" sqref="F16"/>
    </sheetView>
  </sheetViews>
  <sheetFormatPr defaultColWidth="9" defaultRowHeight="16.5"/>
  <cols>
    <col min="1" max="2" width="9" style="64"/>
    <col min="3" max="4" width="15.625" style="711" customWidth="1"/>
    <col min="5" max="5" width="7.625" style="64" customWidth="1"/>
    <col min="6" max="6" width="35.625" style="64" customWidth="1"/>
    <col min="7" max="7" width="15.625" style="711" customWidth="1"/>
    <col min="8" max="16384" width="9" style="64"/>
  </cols>
  <sheetData>
    <row r="1" spans="1:10" ht="25.5">
      <c r="C1" s="1108" t="s">
        <v>144</v>
      </c>
      <c r="D1" s="1108"/>
      <c r="E1" s="1108"/>
      <c r="F1" s="1108"/>
      <c r="G1" s="1108"/>
    </row>
    <row r="2" spans="1:10" ht="21">
      <c r="C2" s="1109" t="s">
        <v>145</v>
      </c>
      <c r="D2" s="1109"/>
      <c r="E2" s="1109"/>
      <c r="F2" s="1109"/>
      <c r="G2" s="1109"/>
    </row>
    <row r="3" spans="1:10" ht="21">
      <c r="C3" s="1110" t="s">
        <v>316</v>
      </c>
      <c r="D3" s="1110"/>
      <c r="E3" s="1110"/>
      <c r="F3" s="1110"/>
      <c r="G3" s="1110"/>
    </row>
    <row r="4" spans="1:10" ht="19.5">
      <c r="C4" s="1111" t="s">
        <v>1057</v>
      </c>
      <c r="D4" s="1111"/>
      <c r="E4" s="1111"/>
      <c r="F4" s="1111"/>
      <c r="G4" s="1111"/>
    </row>
    <row r="5" spans="1:10" ht="17.25" thickBot="1">
      <c r="C5" s="1126" t="s">
        <v>619</v>
      </c>
      <c r="D5" s="1126"/>
      <c r="E5" s="1126"/>
      <c r="F5" s="1126"/>
      <c r="G5" s="1126"/>
    </row>
    <row r="6" spans="1:10" s="86" customFormat="1" ht="21" customHeight="1">
      <c r="C6" s="1127" t="s">
        <v>345</v>
      </c>
      <c r="D6" s="1127" t="s">
        <v>151</v>
      </c>
      <c r="E6" s="1129" t="s">
        <v>132</v>
      </c>
      <c r="F6" s="1130"/>
      <c r="G6" s="1133" t="s">
        <v>64</v>
      </c>
      <c r="H6" s="86" t="s">
        <v>1063</v>
      </c>
      <c r="I6" s="86" t="s">
        <v>1064</v>
      </c>
      <c r="J6" s="86" t="s">
        <v>1065</v>
      </c>
    </row>
    <row r="7" spans="1:10" s="86" customFormat="1" ht="15.75" customHeight="1" thickBot="1">
      <c r="A7" s="86">
        <v>105</v>
      </c>
      <c r="B7" s="86">
        <v>106</v>
      </c>
      <c r="C7" s="1128"/>
      <c r="D7" s="1128"/>
      <c r="E7" s="1131"/>
      <c r="F7" s="1132"/>
      <c r="G7" s="1128"/>
    </row>
    <row r="8" spans="1:10" s="86" customFormat="1" ht="23.65" customHeight="1">
      <c r="A8" s="86">
        <v>561075</v>
      </c>
      <c r="B8" s="86">
        <v>572974</v>
      </c>
      <c r="C8" s="709">
        <f>SUM(C9,C51,C62,C74,C82,C90)+1</f>
        <v>573116</v>
      </c>
      <c r="D8" s="709">
        <f>SUM(D9,D51,D62,D74,D82,D90)</f>
        <v>603715</v>
      </c>
      <c r="E8" s="42" t="s">
        <v>163</v>
      </c>
      <c r="F8" s="43"/>
      <c r="G8" s="709">
        <f>SUM(G9,G51,G62,G74,G82,G90)</f>
        <v>601414</v>
      </c>
      <c r="H8" s="948">
        <f>C8-B8</f>
        <v>142</v>
      </c>
      <c r="I8" s="949">
        <f>C8-A8</f>
        <v>12041</v>
      </c>
      <c r="J8" s="950">
        <f>B8-A8</f>
        <v>11899</v>
      </c>
    </row>
    <row r="9" spans="1:10" s="916" customFormat="1" ht="23.65" customHeight="1">
      <c r="A9" s="916">
        <v>496992</v>
      </c>
      <c r="B9" s="916">
        <v>507187</v>
      </c>
      <c r="C9" s="706">
        <f>SUM(C10,C14,C18,C22,C26,C31,C34,C39,C49)+1</f>
        <v>505523</v>
      </c>
      <c r="D9" s="706">
        <f>SUM(D10,D14,D18,D22,D26,D31,D34,D39,D49)</f>
        <v>531268</v>
      </c>
      <c r="E9" s="50" t="s">
        <v>133</v>
      </c>
      <c r="F9" s="38"/>
      <c r="G9" s="706">
        <f>SUM(G10,G14,G18,G22,G26,G31,G34,G39,G49)</f>
        <v>529733</v>
      </c>
      <c r="H9" s="948">
        <f t="shared" ref="H9:H72" si="0">C9-B9</f>
        <v>-1664</v>
      </c>
      <c r="I9" s="949">
        <f t="shared" ref="I9:I72" si="1">C9-A9</f>
        <v>8531</v>
      </c>
      <c r="J9" s="950">
        <f t="shared" ref="J9:J72" si="2">B9-A9</f>
        <v>10195</v>
      </c>
    </row>
    <row r="10" spans="1:10" s="916" customFormat="1" ht="23.65" customHeight="1">
      <c r="A10" s="916">
        <v>11264</v>
      </c>
      <c r="B10" s="916">
        <v>11245</v>
      </c>
      <c r="C10" s="706">
        <f>SUM(C11:C13)-1</f>
        <v>10991</v>
      </c>
      <c r="D10" s="706">
        <f>SUM(D11:D13)</f>
        <v>11620</v>
      </c>
      <c r="E10" s="151" t="s">
        <v>141</v>
      </c>
      <c r="F10" s="38"/>
      <c r="G10" s="706">
        <f>SUM(G11:G13)</f>
        <v>12000</v>
      </c>
      <c r="H10" s="948">
        <f t="shared" si="0"/>
        <v>-254</v>
      </c>
      <c r="I10" s="948">
        <f t="shared" si="1"/>
        <v>-273</v>
      </c>
      <c r="J10" s="86">
        <f t="shared" si="2"/>
        <v>-19</v>
      </c>
    </row>
    <row r="11" spans="1:10" s="916" customFormat="1" ht="23.65" customHeight="1">
      <c r="A11" s="916">
        <v>10853</v>
      </c>
      <c r="B11" s="916">
        <v>10823</v>
      </c>
      <c r="C11" s="706">
        <v>10566</v>
      </c>
      <c r="D11" s="706">
        <v>11180</v>
      </c>
      <c r="E11" s="45" t="s">
        <v>142</v>
      </c>
      <c r="F11" s="38"/>
      <c r="G11" s="706">
        <f>11550</f>
        <v>11550</v>
      </c>
      <c r="H11" s="948">
        <f t="shared" si="0"/>
        <v>-257</v>
      </c>
      <c r="I11" s="948">
        <f t="shared" si="1"/>
        <v>-287</v>
      </c>
      <c r="J11" s="86">
        <f t="shared" si="2"/>
        <v>-30</v>
      </c>
    </row>
    <row r="12" spans="1:10" s="916" customFormat="1" ht="23.65" customHeight="1">
      <c r="A12" s="916">
        <v>316</v>
      </c>
      <c r="B12" s="916">
        <v>340</v>
      </c>
      <c r="C12" s="706">
        <v>344</v>
      </c>
      <c r="D12" s="706">
        <v>358</v>
      </c>
      <c r="E12" s="45" t="s">
        <v>143</v>
      </c>
      <c r="F12" s="38"/>
      <c r="G12" s="706">
        <v>368</v>
      </c>
      <c r="H12" s="948">
        <f t="shared" si="0"/>
        <v>4</v>
      </c>
      <c r="I12" s="948">
        <f t="shared" si="1"/>
        <v>28</v>
      </c>
      <c r="J12" s="86">
        <f t="shared" si="2"/>
        <v>24</v>
      </c>
    </row>
    <row r="13" spans="1:10" s="916" customFormat="1" ht="23.65" customHeight="1">
      <c r="A13" s="916">
        <v>94</v>
      </c>
      <c r="B13" s="916">
        <v>82</v>
      </c>
      <c r="C13" s="706">
        <v>82</v>
      </c>
      <c r="D13" s="706">
        <v>82</v>
      </c>
      <c r="E13" s="40" t="s">
        <v>380</v>
      </c>
      <c r="F13" s="38"/>
      <c r="G13" s="706">
        <v>82</v>
      </c>
      <c r="H13" s="948">
        <f t="shared" si="0"/>
        <v>0</v>
      </c>
      <c r="I13" s="948">
        <f t="shared" si="1"/>
        <v>-12</v>
      </c>
      <c r="J13" s="86">
        <f t="shared" si="2"/>
        <v>-12</v>
      </c>
    </row>
    <row r="14" spans="1:10" s="916" customFormat="1" ht="23.65" customHeight="1">
      <c r="A14" s="916">
        <v>15985</v>
      </c>
      <c r="B14" s="916">
        <v>15750</v>
      </c>
      <c r="C14" s="706">
        <f>SUM(C15:C17)</f>
        <v>9161</v>
      </c>
      <c r="D14" s="706">
        <f>SUM(D15:D17)</f>
        <v>17913</v>
      </c>
      <c r="E14" s="66" t="s">
        <v>92</v>
      </c>
      <c r="F14" s="39"/>
      <c r="G14" s="706">
        <f>SUM(G15:G17)</f>
        <v>11463</v>
      </c>
      <c r="H14" s="948">
        <f t="shared" si="0"/>
        <v>-6589</v>
      </c>
      <c r="I14" s="948">
        <f t="shared" si="1"/>
        <v>-6824</v>
      </c>
      <c r="J14" s="86">
        <f t="shared" si="2"/>
        <v>-235</v>
      </c>
    </row>
    <row r="15" spans="1:10" s="916" customFormat="1" ht="23.65" customHeight="1">
      <c r="A15" s="916">
        <v>11045</v>
      </c>
      <c r="B15" s="916">
        <v>11089</v>
      </c>
      <c r="C15" s="706">
        <v>4380</v>
      </c>
      <c r="D15" s="706">
        <v>11320</v>
      </c>
      <c r="E15" s="40" t="s">
        <v>853</v>
      </c>
      <c r="F15" s="39"/>
      <c r="G15" s="706">
        <v>4939</v>
      </c>
      <c r="H15" s="948">
        <f t="shared" si="0"/>
        <v>-6709</v>
      </c>
      <c r="I15" s="948">
        <f t="shared" si="1"/>
        <v>-6665</v>
      </c>
      <c r="J15" s="86">
        <f t="shared" si="2"/>
        <v>44</v>
      </c>
    </row>
    <row r="16" spans="1:10" s="916" customFormat="1" ht="23.65" customHeight="1">
      <c r="A16" s="916">
        <v>1510</v>
      </c>
      <c r="B16" s="916">
        <v>1399</v>
      </c>
      <c r="C16" s="706">
        <v>1653</v>
      </c>
      <c r="D16" s="706">
        <v>2744</v>
      </c>
      <c r="E16" s="40" t="s">
        <v>382</v>
      </c>
      <c r="F16" s="39"/>
      <c r="G16" s="706">
        <v>2683</v>
      </c>
      <c r="H16" s="948">
        <f t="shared" si="0"/>
        <v>254</v>
      </c>
      <c r="I16" s="948">
        <f t="shared" si="1"/>
        <v>143</v>
      </c>
      <c r="J16" s="86">
        <f t="shared" si="2"/>
        <v>-111</v>
      </c>
    </row>
    <row r="17" spans="1:10" s="916" customFormat="1" ht="23.65" customHeight="1">
      <c r="A17" s="916">
        <v>3431</v>
      </c>
      <c r="B17" s="916">
        <v>3262</v>
      </c>
      <c r="C17" s="706">
        <v>3128</v>
      </c>
      <c r="D17" s="706">
        <v>3849</v>
      </c>
      <c r="E17" s="40" t="s">
        <v>854</v>
      </c>
      <c r="F17" s="39"/>
      <c r="G17" s="706">
        <v>3841</v>
      </c>
      <c r="H17" s="948">
        <f t="shared" si="0"/>
        <v>-134</v>
      </c>
      <c r="I17" s="948">
        <f t="shared" si="1"/>
        <v>-303</v>
      </c>
      <c r="J17" s="86">
        <f t="shared" si="2"/>
        <v>-169</v>
      </c>
    </row>
    <row r="18" spans="1:10" s="916" customFormat="1" ht="23.65" customHeight="1">
      <c r="A18" s="916">
        <v>4306</v>
      </c>
      <c r="B18" s="916">
        <v>4718</v>
      </c>
      <c r="C18" s="706">
        <f>SUM(C19:C21)-1</f>
        <v>4515</v>
      </c>
      <c r="D18" s="706">
        <f>SUM(D19:D21)</f>
        <v>5027</v>
      </c>
      <c r="E18" s="66" t="s">
        <v>855</v>
      </c>
      <c r="F18" s="39"/>
      <c r="G18" s="706">
        <f>SUM(G19:G21)</f>
        <v>5024</v>
      </c>
      <c r="H18" s="948">
        <f t="shared" si="0"/>
        <v>-203</v>
      </c>
      <c r="I18" s="948">
        <f t="shared" si="1"/>
        <v>209</v>
      </c>
      <c r="J18" s="86">
        <f t="shared" si="2"/>
        <v>412</v>
      </c>
    </row>
    <row r="19" spans="1:10" s="916" customFormat="1" ht="23.65" customHeight="1">
      <c r="A19" s="916">
        <v>3615</v>
      </c>
      <c r="B19" s="916">
        <v>3550</v>
      </c>
      <c r="C19" s="706">
        <v>3119</v>
      </c>
      <c r="D19" s="706">
        <v>3467</v>
      </c>
      <c r="E19" s="40" t="s">
        <v>856</v>
      </c>
      <c r="F19" s="39"/>
      <c r="G19" s="706">
        <v>3467</v>
      </c>
      <c r="H19" s="948">
        <f t="shared" si="0"/>
        <v>-431</v>
      </c>
      <c r="I19" s="948">
        <f t="shared" si="1"/>
        <v>-496</v>
      </c>
      <c r="J19" s="86">
        <f t="shared" si="2"/>
        <v>-65</v>
      </c>
    </row>
    <row r="20" spans="1:10" s="916" customFormat="1" ht="23.65" customHeight="1">
      <c r="A20" s="916">
        <v>667</v>
      </c>
      <c r="B20" s="916">
        <v>1162</v>
      </c>
      <c r="C20" s="706">
        <v>1391</v>
      </c>
      <c r="D20" s="706">
        <v>1160</v>
      </c>
      <c r="E20" s="546" t="s">
        <v>857</v>
      </c>
      <c r="F20" s="39"/>
      <c r="G20" s="706">
        <v>1509</v>
      </c>
      <c r="H20" s="948">
        <f t="shared" si="0"/>
        <v>229</v>
      </c>
      <c r="I20" s="948">
        <f t="shared" si="1"/>
        <v>724</v>
      </c>
      <c r="J20" s="86">
        <f t="shared" si="2"/>
        <v>495</v>
      </c>
    </row>
    <row r="21" spans="1:10" s="916" customFormat="1" ht="23.65" customHeight="1">
      <c r="A21" s="916">
        <v>25</v>
      </c>
      <c r="B21" s="916">
        <v>7</v>
      </c>
      <c r="C21" s="706">
        <v>6</v>
      </c>
      <c r="D21" s="706">
        <v>400</v>
      </c>
      <c r="E21" s="40" t="s">
        <v>858</v>
      </c>
      <c r="F21" s="39"/>
      <c r="G21" s="706">
        <v>48</v>
      </c>
      <c r="H21" s="948">
        <f t="shared" si="0"/>
        <v>-1</v>
      </c>
      <c r="I21" s="948">
        <f t="shared" si="1"/>
        <v>-19</v>
      </c>
      <c r="J21" s="86">
        <f t="shared" si="2"/>
        <v>-18</v>
      </c>
    </row>
    <row r="22" spans="1:10" s="916" customFormat="1" ht="23.65" customHeight="1">
      <c r="A22" s="916">
        <v>9226</v>
      </c>
      <c r="B22" s="916">
        <v>10918</v>
      </c>
      <c r="C22" s="706">
        <f>SUM(C23:C25)-1</f>
        <v>10889</v>
      </c>
      <c r="D22" s="706">
        <f>SUM(D23:D25)</f>
        <v>10783</v>
      </c>
      <c r="E22" s="66" t="s">
        <v>859</v>
      </c>
      <c r="F22" s="39"/>
      <c r="G22" s="706">
        <f>SUM(G23:G25)</f>
        <v>10951</v>
      </c>
      <c r="H22" s="948">
        <f t="shared" si="0"/>
        <v>-29</v>
      </c>
      <c r="I22" s="949">
        <f t="shared" si="1"/>
        <v>1663</v>
      </c>
      <c r="J22" s="950">
        <f t="shared" si="2"/>
        <v>1692</v>
      </c>
    </row>
    <row r="23" spans="1:10" s="916" customFormat="1" ht="23.65" customHeight="1">
      <c r="A23" s="916">
        <v>8065</v>
      </c>
      <c r="B23" s="916">
        <v>10281</v>
      </c>
      <c r="C23" s="706">
        <v>10128</v>
      </c>
      <c r="D23" s="706">
        <v>10033</v>
      </c>
      <c r="E23" s="40" t="s">
        <v>860</v>
      </c>
      <c r="F23" s="39"/>
      <c r="G23" s="952">
        <f>10401-200</f>
        <v>10201</v>
      </c>
      <c r="H23" s="948">
        <f t="shared" si="0"/>
        <v>-153</v>
      </c>
      <c r="I23" s="949">
        <f t="shared" si="1"/>
        <v>2063</v>
      </c>
      <c r="J23" s="950">
        <f t="shared" si="2"/>
        <v>2216</v>
      </c>
    </row>
    <row r="24" spans="1:10" s="916" customFormat="1" ht="23.65" customHeight="1">
      <c r="A24" s="916">
        <v>877</v>
      </c>
      <c r="B24" s="916">
        <v>608</v>
      </c>
      <c r="C24" s="706">
        <v>754</v>
      </c>
      <c r="D24" s="706">
        <v>750</v>
      </c>
      <c r="E24" s="40" t="s">
        <v>862</v>
      </c>
      <c r="F24" s="39"/>
      <c r="G24" s="706">
        <v>750</v>
      </c>
      <c r="H24" s="948">
        <f t="shared" si="0"/>
        <v>146</v>
      </c>
      <c r="I24" s="948">
        <f t="shared" si="1"/>
        <v>-123</v>
      </c>
      <c r="J24" s="86">
        <f t="shared" si="2"/>
        <v>-269</v>
      </c>
    </row>
    <row r="25" spans="1:10" s="916" customFormat="1" ht="23.65" customHeight="1">
      <c r="A25" s="916">
        <v>284</v>
      </c>
      <c r="B25" s="916">
        <v>29</v>
      </c>
      <c r="C25" s="706">
        <v>8</v>
      </c>
      <c r="D25" s="706">
        <v>0</v>
      </c>
      <c r="E25" s="40" t="s">
        <v>861</v>
      </c>
      <c r="F25" s="39"/>
      <c r="G25" s="706">
        <v>0</v>
      </c>
      <c r="H25" s="948">
        <f t="shared" si="0"/>
        <v>-21</v>
      </c>
      <c r="I25" s="948">
        <f t="shared" si="1"/>
        <v>-276</v>
      </c>
      <c r="J25" s="86">
        <f t="shared" si="2"/>
        <v>-255</v>
      </c>
    </row>
    <row r="26" spans="1:10" s="916" customFormat="1" ht="23.65" customHeight="1">
      <c r="A26" s="916">
        <v>18068</v>
      </c>
      <c r="B26" s="916">
        <v>17969</v>
      </c>
      <c r="C26" s="706">
        <f>SUM(C27:C30)</f>
        <v>15550</v>
      </c>
      <c r="D26" s="706">
        <f>SUM(D27:D30)</f>
        <v>16142</v>
      </c>
      <c r="E26" s="66" t="s">
        <v>863</v>
      </c>
      <c r="F26" s="39"/>
      <c r="G26" s="706">
        <f>SUM(G27:G30)</f>
        <v>9639</v>
      </c>
      <c r="H26" s="948">
        <f t="shared" si="0"/>
        <v>-2419</v>
      </c>
      <c r="I26" s="948">
        <f t="shared" si="1"/>
        <v>-2518</v>
      </c>
      <c r="J26" s="86">
        <f t="shared" si="2"/>
        <v>-99</v>
      </c>
    </row>
    <row r="27" spans="1:10" s="916" customFormat="1" ht="23.65" customHeight="1">
      <c r="A27" s="916">
        <v>3223</v>
      </c>
      <c r="B27" s="916">
        <v>7115</v>
      </c>
      <c r="C27" s="706">
        <v>7396</v>
      </c>
      <c r="D27" s="706">
        <v>10484</v>
      </c>
      <c r="E27" s="40" t="s">
        <v>864</v>
      </c>
      <c r="F27" s="39"/>
      <c r="G27" s="706">
        <v>3763</v>
      </c>
      <c r="H27" s="948">
        <f t="shared" si="0"/>
        <v>281</v>
      </c>
      <c r="I27" s="949">
        <f t="shared" si="1"/>
        <v>4173</v>
      </c>
      <c r="J27" s="950">
        <f t="shared" si="2"/>
        <v>3892</v>
      </c>
    </row>
    <row r="28" spans="1:10" s="916" customFormat="1" ht="23.65" customHeight="1">
      <c r="A28" s="916">
        <v>13971</v>
      </c>
      <c r="B28" s="916">
        <v>10001</v>
      </c>
      <c r="C28" s="706">
        <v>7002</v>
      </c>
      <c r="D28" s="706">
        <v>5026</v>
      </c>
      <c r="E28" s="40" t="s">
        <v>865</v>
      </c>
      <c r="F28" s="40"/>
      <c r="G28" s="706">
        <v>4777</v>
      </c>
      <c r="H28" s="948">
        <f t="shared" si="0"/>
        <v>-2999</v>
      </c>
      <c r="I28" s="948">
        <f t="shared" si="1"/>
        <v>-6969</v>
      </c>
      <c r="J28" s="86">
        <f t="shared" si="2"/>
        <v>-3970</v>
      </c>
    </row>
    <row r="29" spans="1:10" s="916" customFormat="1" ht="23.65" customHeight="1">
      <c r="A29" s="916">
        <v>193</v>
      </c>
      <c r="B29" s="916">
        <v>125</v>
      </c>
      <c r="C29" s="706">
        <v>300</v>
      </c>
      <c r="D29" s="706">
        <v>93</v>
      </c>
      <c r="E29" s="40" t="s">
        <v>866</v>
      </c>
      <c r="F29" s="40"/>
      <c r="G29" s="706">
        <v>334</v>
      </c>
      <c r="H29" s="948">
        <f t="shared" si="0"/>
        <v>175</v>
      </c>
      <c r="I29" s="948">
        <f t="shared" si="1"/>
        <v>107</v>
      </c>
      <c r="J29" s="86">
        <f t="shared" si="2"/>
        <v>-68</v>
      </c>
    </row>
    <row r="30" spans="1:10" s="916" customFormat="1" ht="23.65" customHeight="1">
      <c r="A30" s="916">
        <v>681</v>
      </c>
      <c r="B30" s="916">
        <v>728</v>
      </c>
      <c r="C30" s="706">
        <v>852</v>
      </c>
      <c r="D30" s="706">
        <v>539</v>
      </c>
      <c r="E30" s="40" t="s">
        <v>867</v>
      </c>
      <c r="F30" s="40"/>
      <c r="G30" s="706">
        <v>765</v>
      </c>
      <c r="H30" s="948">
        <f t="shared" si="0"/>
        <v>124</v>
      </c>
      <c r="I30" s="948">
        <f t="shared" si="1"/>
        <v>171</v>
      </c>
      <c r="J30" s="86">
        <f t="shared" si="2"/>
        <v>47</v>
      </c>
    </row>
    <row r="31" spans="1:10" s="916" customFormat="1" ht="23.65" customHeight="1">
      <c r="A31" s="916">
        <v>122</v>
      </c>
      <c r="B31" s="916">
        <v>114</v>
      </c>
      <c r="C31" s="706">
        <f>SUM(C32:C33)</f>
        <v>54</v>
      </c>
      <c r="D31" s="706">
        <f>SUM(D32:D33)</f>
        <v>128</v>
      </c>
      <c r="E31" s="66" t="s">
        <v>868</v>
      </c>
      <c r="F31" s="39"/>
      <c r="G31" s="706">
        <f>SUM(G32:G33)</f>
        <v>74</v>
      </c>
      <c r="H31" s="948">
        <f t="shared" si="0"/>
        <v>-60</v>
      </c>
      <c r="I31" s="948">
        <f t="shared" si="1"/>
        <v>-68</v>
      </c>
      <c r="J31" s="86">
        <f t="shared" si="2"/>
        <v>-8</v>
      </c>
    </row>
    <row r="32" spans="1:10" s="916" customFormat="1" ht="23.65" customHeight="1">
      <c r="A32" s="916">
        <v>4</v>
      </c>
      <c r="B32" s="916">
        <v>4</v>
      </c>
      <c r="C32" s="706">
        <v>4</v>
      </c>
      <c r="D32" s="706">
        <v>7</v>
      </c>
      <c r="E32" s="40" t="s">
        <v>869</v>
      </c>
      <c r="F32" s="39"/>
      <c r="G32" s="706">
        <v>8</v>
      </c>
      <c r="H32" s="948">
        <f t="shared" si="0"/>
        <v>0</v>
      </c>
      <c r="I32" s="948">
        <f t="shared" si="1"/>
        <v>0</v>
      </c>
      <c r="J32" s="86">
        <f t="shared" si="2"/>
        <v>0</v>
      </c>
    </row>
    <row r="33" spans="1:15" s="916" customFormat="1" ht="23.65" customHeight="1">
      <c r="A33" s="916">
        <v>118</v>
      </c>
      <c r="B33" s="916">
        <v>110</v>
      </c>
      <c r="C33" s="706">
        <v>50</v>
      </c>
      <c r="D33" s="706">
        <v>121</v>
      </c>
      <c r="E33" s="547" t="s">
        <v>870</v>
      </c>
      <c r="F33" s="39"/>
      <c r="G33" s="706">
        <v>66</v>
      </c>
      <c r="H33" s="948">
        <f t="shared" si="0"/>
        <v>-60</v>
      </c>
      <c r="I33" s="948">
        <f t="shared" si="1"/>
        <v>-68</v>
      </c>
      <c r="J33" s="86">
        <f t="shared" si="2"/>
        <v>-8</v>
      </c>
    </row>
    <row r="34" spans="1:15" s="916" customFormat="1" ht="23.65" customHeight="1" thickBot="1">
      <c r="A34" s="916">
        <v>94033</v>
      </c>
      <c r="B34" s="916">
        <v>101548</v>
      </c>
      <c r="C34" s="706">
        <f>SUM(C35:C38)+1</f>
        <v>113331</v>
      </c>
      <c r="D34" s="706">
        <f>SUM(D35:D38)</f>
        <v>104559</v>
      </c>
      <c r="E34" s="1134" t="s">
        <v>871</v>
      </c>
      <c r="F34" s="1135"/>
      <c r="G34" s="706">
        <f>SUM(G35:G38)</f>
        <v>121591</v>
      </c>
      <c r="H34" s="949">
        <f t="shared" si="0"/>
        <v>11783</v>
      </c>
      <c r="I34" s="949">
        <f t="shared" si="1"/>
        <v>19298</v>
      </c>
      <c r="J34" s="950">
        <f t="shared" si="2"/>
        <v>7515</v>
      </c>
    </row>
    <row r="35" spans="1:15" s="916" customFormat="1" ht="23.65" customHeight="1">
      <c r="A35" s="916">
        <v>5601</v>
      </c>
      <c r="B35" s="916">
        <v>5497</v>
      </c>
      <c r="C35" s="714">
        <v>5588</v>
      </c>
      <c r="D35" s="714">
        <v>5440</v>
      </c>
      <c r="E35" s="1136" t="s">
        <v>872</v>
      </c>
      <c r="F35" s="1137"/>
      <c r="G35" s="714">
        <v>6010</v>
      </c>
      <c r="H35" s="948">
        <f t="shared" si="0"/>
        <v>91</v>
      </c>
      <c r="I35" s="948">
        <f t="shared" si="1"/>
        <v>-13</v>
      </c>
      <c r="J35" s="86">
        <f t="shared" si="2"/>
        <v>-104</v>
      </c>
    </row>
    <row r="36" spans="1:15" s="916" customFormat="1" ht="23.65" customHeight="1">
      <c r="A36" s="916">
        <v>20528</v>
      </c>
      <c r="B36" s="916">
        <v>21371</v>
      </c>
      <c r="C36" s="706">
        <v>29590</v>
      </c>
      <c r="D36" s="706">
        <v>21312</v>
      </c>
      <c r="E36" s="1138" t="s">
        <v>873</v>
      </c>
      <c r="F36" s="1139"/>
      <c r="G36" s="706">
        <v>31449</v>
      </c>
      <c r="H36" s="949">
        <f t="shared" si="0"/>
        <v>8219</v>
      </c>
      <c r="I36" s="949">
        <f t="shared" si="1"/>
        <v>9062</v>
      </c>
      <c r="J36" s="86">
        <f t="shared" si="2"/>
        <v>843</v>
      </c>
    </row>
    <row r="37" spans="1:15" s="916" customFormat="1" ht="23.65" customHeight="1">
      <c r="A37" s="916">
        <v>16562</v>
      </c>
      <c r="B37" s="916">
        <v>17156</v>
      </c>
      <c r="C37" s="706">
        <v>15971</v>
      </c>
      <c r="D37" s="706">
        <v>18352</v>
      </c>
      <c r="E37" s="939" t="s">
        <v>874</v>
      </c>
      <c r="F37" s="373"/>
      <c r="G37" s="706">
        <v>19270</v>
      </c>
      <c r="H37" s="948">
        <f t="shared" si="0"/>
        <v>-1185</v>
      </c>
      <c r="I37" s="948">
        <f t="shared" si="1"/>
        <v>-591</v>
      </c>
      <c r="J37" s="86">
        <f t="shared" si="2"/>
        <v>594</v>
      </c>
      <c r="O37" s="916" t="s">
        <v>875</v>
      </c>
    </row>
    <row r="38" spans="1:15" s="916" customFormat="1" ht="23.65" customHeight="1">
      <c r="A38" s="916">
        <v>51341</v>
      </c>
      <c r="B38" s="916">
        <v>57524</v>
      </c>
      <c r="C38" s="706">
        <v>62181</v>
      </c>
      <c r="D38" s="706">
        <v>59455</v>
      </c>
      <c r="E38" s="938" t="s">
        <v>876</v>
      </c>
      <c r="F38" s="58"/>
      <c r="G38" s="706">
        <v>64862</v>
      </c>
      <c r="H38" s="949">
        <f t="shared" si="0"/>
        <v>4657</v>
      </c>
      <c r="I38" s="949">
        <f t="shared" si="1"/>
        <v>10840</v>
      </c>
      <c r="J38" s="950">
        <f t="shared" si="2"/>
        <v>6183</v>
      </c>
    </row>
    <row r="39" spans="1:15" s="916" customFormat="1" ht="23.65" customHeight="1">
      <c r="A39" s="916">
        <v>343691</v>
      </c>
      <c r="B39" s="916">
        <v>344785</v>
      </c>
      <c r="C39" s="706">
        <f>SUM(C40:C48)+1</f>
        <v>340845</v>
      </c>
      <c r="D39" s="706">
        <f>SUM(D40:D48)</f>
        <v>364796</v>
      </c>
      <c r="E39" s="66" t="s">
        <v>877</v>
      </c>
      <c r="F39" s="39"/>
      <c r="G39" s="706">
        <f>SUM(G40:G48)</f>
        <v>358691</v>
      </c>
      <c r="H39" s="948">
        <f t="shared" si="0"/>
        <v>-3940</v>
      </c>
      <c r="I39" s="948">
        <f t="shared" si="1"/>
        <v>-2846</v>
      </c>
      <c r="J39" s="950">
        <f t="shared" si="2"/>
        <v>1094</v>
      </c>
    </row>
    <row r="40" spans="1:15" s="916" customFormat="1" ht="23.65" customHeight="1">
      <c r="A40" s="916">
        <v>291</v>
      </c>
      <c r="B40" s="916">
        <v>283</v>
      </c>
      <c r="C40" s="706">
        <v>282</v>
      </c>
      <c r="D40" s="706">
        <v>282</v>
      </c>
      <c r="E40" s="39" t="s">
        <v>878</v>
      </c>
      <c r="F40" s="39"/>
      <c r="G40" s="706">
        <f>[4]概算版業內!$X$2/1000</f>
        <v>282</v>
      </c>
      <c r="H40" s="948">
        <f t="shared" si="0"/>
        <v>-1</v>
      </c>
      <c r="I40" s="948">
        <f t="shared" si="1"/>
        <v>-9</v>
      </c>
      <c r="J40" s="86">
        <f t="shared" si="2"/>
        <v>-8</v>
      </c>
    </row>
    <row r="41" spans="1:15" s="916" customFormat="1" ht="23.65" customHeight="1">
      <c r="A41" s="916">
        <v>0</v>
      </c>
      <c r="B41" s="916">
        <v>0</v>
      </c>
      <c r="C41" s="706">
        <v>0</v>
      </c>
      <c r="D41" s="706">
        <v>0</v>
      </c>
      <c r="E41" s="39" t="s">
        <v>879</v>
      </c>
      <c r="F41" s="39"/>
      <c r="G41" s="706">
        <v>0</v>
      </c>
      <c r="H41" s="948">
        <f t="shared" si="0"/>
        <v>0</v>
      </c>
      <c r="I41" s="948">
        <f t="shared" si="1"/>
        <v>0</v>
      </c>
      <c r="J41" s="86">
        <f t="shared" si="2"/>
        <v>0</v>
      </c>
    </row>
    <row r="42" spans="1:15" s="916" customFormat="1" ht="23.65" customHeight="1">
      <c r="A42" s="916">
        <v>289</v>
      </c>
      <c r="B42" s="916">
        <v>584</v>
      </c>
      <c r="C42" s="706">
        <v>0</v>
      </c>
      <c r="D42" s="706">
        <v>98</v>
      </c>
      <c r="E42" s="39" t="s">
        <v>880</v>
      </c>
      <c r="F42" s="39"/>
      <c r="G42" s="706">
        <v>0</v>
      </c>
      <c r="H42" s="948">
        <f t="shared" si="0"/>
        <v>-584</v>
      </c>
      <c r="I42" s="948">
        <f t="shared" si="1"/>
        <v>-289</v>
      </c>
      <c r="J42" s="86">
        <f t="shared" si="2"/>
        <v>295</v>
      </c>
    </row>
    <row r="43" spans="1:15" s="916" customFormat="1" ht="23.65" customHeight="1">
      <c r="A43" s="916">
        <v>2202</v>
      </c>
      <c r="B43" s="916">
        <v>2794</v>
      </c>
      <c r="C43" s="706">
        <v>4748</v>
      </c>
      <c r="D43" s="706">
        <v>4673</v>
      </c>
      <c r="E43" s="39" t="s">
        <v>881</v>
      </c>
      <c r="F43" s="39"/>
      <c r="G43" s="706">
        <v>4149</v>
      </c>
      <c r="H43" s="949">
        <f t="shared" si="0"/>
        <v>1954</v>
      </c>
      <c r="I43" s="949">
        <f t="shared" si="1"/>
        <v>2546</v>
      </c>
      <c r="J43" s="86">
        <f t="shared" si="2"/>
        <v>592</v>
      </c>
    </row>
    <row r="44" spans="1:15" s="916" customFormat="1" ht="23.65" customHeight="1">
      <c r="A44" s="916">
        <v>1770</v>
      </c>
      <c r="B44" s="916">
        <v>480</v>
      </c>
      <c r="C44" s="706">
        <v>0</v>
      </c>
      <c r="D44" s="706">
        <v>0</v>
      </c>
      <c r="E44" s="39" t="s">
        <v>882</v>
      </c>
      <c r="F44" s="39"/>
      <c r="G44" s="706">
        <v>236</v>
      </c>
      <c r="H44" s="948">
        <f t="shared" si="0"/>
        <v>-480</v>
      </c>
      <c r="I44" s="948">
        <f t="shared" si="1"/>
        <v>-1770</v>
      </c>
      <c r="J44" s="86">
        <f t="shared" si="2"/>
        <v>-1290</v>
      </c>
    </row>
    <row r="45" spans="1:15" s="916" customFormat="1" ht="23.65" customHeight="1">
      <c r="A45" s="916">
        <v>1109</v>
      </c>
      <c r="B45" s="916">
        <v>1284</v>
      </c>
      <c r="C45" s="706">
        <v>1780</v>
      </c>
      <c r="D45" s="706">
        <v>173</v>
      </c>
      <c r="E45" s="39" t="s">
        <v>883</v>
      </c>
      <c r="F45" s="39"/>
      <c r="G45" s="706">
        <v>117</v>
      </c>
      <c r="H45" s="948">
        <f t="shared" si="0"/>
        <v>496</v>
      </c>
      <c r="I45" s="948">
        <f t="shared" si="1"/>
        <v>671</v>
      </c>
      <c r="J45" s="86">
        <f t="shared" si="2"/>
        <v>175</v>
      </c>
    </row>
    <row r="46" spans="1:15" s="912" customFormat="1" ht="23.65" customHeight="1">
      <c r="A46" s="912">
        <v>321655</v>
      </c>
      <c r="B46" s="912">
        <v>322894</v>
      </c>
      <c r="C46" s="706">
        <v>317815</v>
      </c>
      <c r="D46" s="706">
        <v>338924</v>
      </c>
      <c r="E46" s="39" t="s">
        <v>884</v>
      </c>
      <c r="F46" s="39"/>
      <c r="G46" s="706">
        <f>[4]概算版業內!$AD$2/1000</f>
        <v>334172</v>
      </c>
      <c r="H46" s="948">
        <f t="shared" si="0"/>
        <v>-5079</v>
      </c>
      <c r="I46" s="948">
        <f t="shared" si="1"/>
        <v>-3840</v>
      </c>
      <c r="J46" s="950">
        <f t="shared" si="2"/>
        <v>1239</v>
      </c>
    </row>
    <row r="47" spans="1:15" s="912" customFormat="1" ht="23.65" customHeight="1">
      <c r="A47" s="912">
        <v>16370</v>
      </c>
      <c r="B47" s="912">
        <v>16465</v>
      </c>
      <c r="C47" s="706">
        <v>16219</v>
      </c>
      <c r="D47" s="706">
        <v>20646</v>
      </c>
      <c r="E47" s="705" t="s">
        <v>976</v>
      </c>
      <c r="F47" s="39"/>
      <c r="G47" s="706">
        <v>19735</v>
      </c>
      <c r="H47" s="948">
        <f t="shared" si="0"/>
        <v>-246</v>
      </c>
      <c r="I47" s="948">
        <f t="shared" si="1"/>
        <v>-151</v>
      </c>
      <c r="J47" s="86">
        <f t="shared" si="2"/>
        <v>95</v>
      </c>
    </row>
    <row r="48" spans="1:15" s="912" customFormat="1" ht="23.65" customHeight="1">
      <c r="A48" s="912">
        <v>4</v>
      </c>
      <c r="B48" s="912">
        <v>0</v>
      </c>
      <c r="C48" s="706">
        <v>0</v>
      </c>
      <c r="D48" s="706">
        <v>0</v>
      </c>
      <c r="E48" s="39" t="s">
        <v>885</v>
      </c>
      <c r="F48" s="39"/>
      <c r="G48" s="706">
        <v>0</v>
      </c>
      <c r="H48" s="948">
        <f t="shared" si="0"/>
        <v>0</v>
      </c>
      <c r="I48" s="948">
        <f t="shared" si="1"/>
        <v>-4</v>
      </c>
      <c r="J48" s="86">
        <f t="shared" si="2"/>
        <v>-4</v>
      </c>
    </row>
    <row r="49" spans="1:10" s="912" customFormat="1" ht="23.65" customHeight="1">
      <c r="A49" s="912">
        <v>298</v>
      </c>
      <c r="B49" s="912">
        <v>138</v>
      </c>
      <c r="C49" s="706">
        <f>SUM(C50)</f>
        <v>186</v>
      </c>
      <c r="D49" s="706">
        <f>SUM(D50)</f>
        <v>300</v>
      </c>
      <c r="E49" s="66" t="s">
        <v>886</v>
      </c>
      <c r="F49" s="39"/>
      <c r="G49" s="706">
        <f>SUM(G50)</f>
        <v>300</v>
      </c>
      <c r="H49" s="948">
        <f t="shared" si="0"/>
        <v>48</v>
      </c>
      <c r="I49" s="948">
        <f t="shared" si="1"/>
        <v>-112</v>
      </c>
      <c r="J49" s="86">
        <f t="shared" si="2"/>
        <v>-160</v>
      </c>
    </row>
    <row r="50" spans="1:10" s="912" customFormat="1" ht="23.65" customHeight="1">
      <c r="A50" s="912">
        <v>298</v>
      </c>
      <c r="B50" s="912">
        <v>138</v>
      </c>
      <c r="C50" s="706">
        <v>186</v>
      </c>
      <c r="D50" s="706">
        <f>500-200</f>
        <v>300</v>
      </c>
      <c r="E50" s="39" t="s">
        <v>887</v>
      </c>
      <c r="F50" s="39"/>
      <c r="G50" s="706">
        <v>300</v>
      </c>
      <c r="H50" s="948">
        <f t="shared" si="0"/>
        <v>48</v>
      </c>
      <c r="I50" s="948">
        <f t="shared" si="1"/>
        <v>-112</v>
      </c>
      <c r="J50" s="86">
        <f t="shared" si="2"/>
        <v>-160</v>
      </c>
    </row>
    <row r="51" spans="1:10" s="912" customFormat="1" ht="23.65" customHeight="1">
      <c r="A51" s="912">
        <v>18039</v>
      </c>
      <c r="B51" s="912">
        <v>20479</v>
      </c>
      <c r="C51" s="706">
        <f>C52+C55</f>
        <v>23586</v>
      </c>
      <c r="D51" s="706">
        <f>D52+D55</f>
        <v>22211</v>
      </c>
      <c r="E51" s="1124" t="s">
        <v>888</v>
      </c>
      <c r="F51" s="1125"/>
      <c r="G51" s="706">
        <f>G52+G55</f>
        <v>26342</v>
      </c>
      <c r="H51" s="949">
        <f t="shared" si="0"/>
        <v>3107</v>
      </c>
      <c r="I51" s="949">
        <f t="shared" si="1"/>
        <v>5547</v>
      </c>
      <c r="J51" s="950">
        <f t="shared" si="2"/>
        <v>2440</v>
      </c>
    </row>
    <row r="52" spans="1:10" s="912" customFormat="1" ht="23.65" customHeight="1">
      <c r="A52" s="912">
        <v>1023</v>
      </c>
      <c r="B52" s="912">
        <v>1021</v>
      </c>
      <c r="C52" s="706">
        <f>SUM(C53:C54)</f>
        <v>1166</v>
      </c>
      <c r="D52" s="706">
        <f>SUM(D53:D54)</f>
        <v>997</v>
      </c>
      <c r="E52" s="937" t="s">
        <v>889</v>
      </c>
      <c r="F52" s="936"/>
      <c r="G52" s="706">
        <f>SUM(G53:G54)</f>
        <v>1063</v>
      </c>
      <c r="H52" s="948">
        <f t="shared" si="0"/>
        <v>145</v>
      </c>
      <c r="I52" s="948">
        <f t="shared" si="1"/>
        <v>143</v>
      </c>
      <c r="J52" s="86">
        <f t="shared" si="2"/>
        <v>-2</v>
      </c>
    </row>
    <row r="53" spans="1:10" s="912" customFormat="1" ht="23.65" customHeight="1">
      <c r="A53" s="912">
        <v>193</v>
      </c>
      <c r="B53" s="912">
        <v>238</v>
      </c>
      <c r="C53" s="706">
        <v>333</v>
      </c>
      <c r="D53" s="706">
        <v>210</v>
      </c>
      <c r="E53" s="572" t="s">
        <v>890</v>
      </c>
      <c r="F53" s="936"/>
      <c r="G53" s="706">
        <v>180</v>
      </c>
      <c r="H53" s="948">
        <f t="shared" si="0"/>
        <v>95</v>
      </c>
      <c r="I53" s="948">
        <f t="shared" si="1"/>
        <v>140</v>
      </c>
      <c r="J53" s="86">
        <f t="shared" si="2"/>
        <v>45</v>
      </c>
    </row>
    <row r="54" spans="1:10" s="912" customFormat="1" ht="23.65" customHeight="1">
      <c r="A54" s="912">
        <v>830</v>
      </c>
      <c r="B54" s="912">
        <v>783</v>
      </c>
      <c r="C54" s="706">
        <v>833</v>
      </c>
      <c r="D54" s="706">
        <v>787</v>
      </c>
      <c r="E54" s="572" t="s">
        <v>891</v>
      </c>
      <c r="F54" s="936"/>
      <c r="G54" s="706">
        <v>883</v>
      </c>
      <c r="H54" s="948">
        <f t="shared" si="0"/>
        <v>50</v>
      </c>
      <c r="I54" s="948">
        <f t="shared" si="1"/>
        <v>3</v>
      </c>
      <c r="J54" s="86">
        <f t="shared" si="2"/>
        <v>-47</v>
      </c>
    </row>
    <row r="55" spans="1:10" s="912" customFormat="1" ht="23.65" customHeight="1">
      <c r="A55" s="912">
        <v>17016</v>
      </c>
      <c r="B55" s="912">
        <v>19458</v>
      </c>
      <c r="C55" s="706">
        <f>SUM(C56:C61)+1</f>
        <v>22420</v>
      </c>
      <c r="D55" s="706">
        <f>SUM(D56:D61)</f>
        <v>21214</v>
      </c>
      <c r="E55" s="1134" t="s">
        <v>892</v>
      </c>
      <c r="F55" s="1135"/>
      <c r="G55" s="706">
        <f>SUM(G56:G61)</f>
        <v>25279</v>
      </c>
      <c r="H55" s="949">
        <f t="shared" si="0"/>
        <v>2962</v>
      </c>
      <c r="I55" s="949">
        <f t="shared" si="1"/>
        <v>5404</v>
      </c>
      <c r="J55" s="950">
        <f t="shared" si="2"/>
        <v>2442</v>
      </c>
    </row>
    <row r="56" spans="1:10" s="912" customFormat="1" ht="23.65" customHeight="1">
      <c r="A56" s="912">
        <v>6399</v>
      </c>
      <c r="B56" s="912">
        <v>8350</v>
      </c>
      <c r="C56" s="706">
        <v>10380</v>
      </c>
      <c r="D56" s="706">
        <v>9736</v>
      </c>
      <c r="E56" s="940" t="s">
        <v>893</v>
      </c>
      <c r="F56" s="573"/>
      <c r="G56" s="952">
        <f>13262-80</f>
        <v>13182</v>
      </c>
      <c r="H56" s="949">
        <f t="shared" si="0"/>
        <v>2030</v>
      </c>
      <c r="I56" s="949">
        <f t="shared" si="1"/>
        <v>3981</v>
      </c>
      <c r="J56" s="950">
        <f t="shared" si="2"/>
        <v>1951</v>
      </c>
    </row>
    <row r="57" spans="1:10" s="912" customFormat="1" ht="23.65" customHeight="1">
      <c r="A57" s="912">
        <v>940</v>
      </c>
      <c r="B57" s="912">
        <v>1078</v>
      </c>
      <c r="C57" s="706">
        <v>1497</v>
      </c>
      <c r="D57" s="706">
        <v>1259</v>
      </c>
      <c r="E57" s="572" t="s">
        <v>894</v>
      </c>
      <c r="F57" s="573"/>
      <c r="G57" s="706">
        <v>1239</v>
      </c>
      <c r="H57" s="948">
        <f t="shared" si="0"/>
        <v>419</v>
      </c>
      <c r="I57" s="948">
        <f t="shared" si="1"/>
        <v>557</v>
      </c>
      <c r="J57" s="86">
        <f t="shared" si="2"/>
        <v>138</v>
      </c>
    </row>
    <row r="58" spans="1:10" s="912" customFormat="1" ht="23.65" customHeight="1">
      <c r="C58" s="706">
        <v>78</v>
      </c>
      <c r="D58" s="706"/>
      <c r="E58" s="572" t="s">
        <v>1055</v>
      </c>
      <c r="F58" s="573"/>
      <c r="G58" s="706">
        <v>73</v>
      </c>
      <c r="H58" s="948">
        <f t="shared" si="0"/>
        <v>78</v>
      </c>
      <c r="I58" s="948">
        <f t="shared" si="1"/>
        <v>78</v>
      </c>
      <c r="J58" s="86">
        <f t="shared" si="2"/>
        <v>0</v>
      </c>
    </row>
    <row r="59" spans="1:10" s="912" customFormat="1" ht="23.65" customHeight="1">
      <c r="A59" s="912">
        <v>9059</v>
      </c>
      <c r="B59" s="912">
        <v>9520</v>
      </c>
      <c r="C59" s="706">
        <v>9776</v>
      </c>
      <c r="D59" s="706">
        <v>9655</v>
      </c>
      <c r="E59" s="40" t="s">
        <v>895</v>
      </c>
      <c r="F59" s="39"/>
      <c r="G59" s="706">
        <v>10152</v>
      </c>
      <c r="H59" s="948">
        <f t="shared" si="0"/>
        <v>256</v>
      </c>
      <c r="I59" s="948">
        <f t="shared" si="1"/>
        <v>717</v>
      </c>
      <c r="J59" s="86">
        <f t="shared" si="2"/>
        <v>461</v>
      </c>
    </row>
    <row r="60" spans="1:10" s="912" customFormat="1" ht="23.65" customHeight="1">
      <c r="A60" s="912">
        <v>5</v>
      </c>
      <c r="B60" s="912">
        <v>27</v>
      </c>
      <c r="C60" s="706">
        <v>9</v>
      </c>
      <c r="D60" s="706">
        <v>26</v>
      </c>
      <c r="E60" s="40" t="s">
        <v>896</v>
      </c>
      <c r="F60" s="39"/>
      <c r="G60" s="706">
        <v>7</v>
      </c>
      <c r="H60" s="948">
        <f t="shared" si="0"/>
        <v>-18</v>
      </c>
      <c r="I60" s="948">
        <f t="shared" si="1"/>
        <v>4</v>
      </c>
      <c r="J60" s="86">
        <f t="shared" si="2"/>
        <v>22</v>
      </c>
    </row>
    <row r="61" spans="1:10" s="912" customFormat="1" ht="23.65" customHeight="1">
      <c r="A61" s="912">
        <v>613</v>
      </c>
      <c r="B61" s="912">
        <v>482</v>
      </c>
      <c r="C61" s="706">
        <v>679</v>
      </c>
      <c r="D61" s="706">
        <v>538</v>
      </c>
      <c r="E61" s="547" t="s">
        <v>885</v>
      </c>
      <c r="F61" s="39"/>
      <c r="G61" s="706">
        <v>626</v>
      </c>
      <c r="H61" s="948">
        <f t="shared" si="0"/>
        <v>197</v>
      </c>
      <c r="I61" s="948">
        <f t="shared" si="1"/>
        <v>66</v>
      </c>
      <c r="J61" s="86">
        <f t="shared" si="2"/>
        <v>-131</v>
      </c>
    </row>
    <row r="62" spans="1:10" s="912" customFormat="1" ht="23.65" customHeight="1">
      <c r="A62" s="912">
        <v>16025</v>
      </c>
      <c r="B62" s="912">
        <v>15694</v>
      </c>
      <c r="C62" s="706">
        <f>C63+C65+C67+C70+C72-1</f>
        <v>14715</v>
      </c>
      <c r="D62" s="706">
        <f>D63+D65+D67+D70+D72</f>
        <v>16236</v>
      </c>
      <c r="E62" s="1124" t="s">
        <v>897</v>
      </c>
      <c r="F62" s="1125"/>
      <c r="G62" s="706">
        <f>G63+G65+G67+G70+G72</f>
        <v>15339</v>
      </c>
      <c r="H62" s="948">
        <f t="shared" si="0"/>
        <v>-979</v>
      </c>
      <c r="I62" s="948">
        <f t="shared" si="1"/>
        <v>-1310</v>
      </c>
      <c r="J62" s="86">
        <f t="shared" si="2"/>
        <v>-331</v>
      </c>
    </row>
    <row r="63" spans="1:10" s="912" customFormat="1" ht="23.65" customHeight="1">
      <c r="A63" s="912">
        <v>0</v>
      </c>
      <c r="B63" s="912">
        <v>0</v>
      </c>
      <c r="C63" s="83">
        <f>SUM(C64)</f>
        <v>0</v>
      </c>
      <c r="D63" s="706">
        <f>SUM(D64)</f>
        <v>0</v>
      </c>
      <c r="E63" s="66" t="s">
        <v>898</v>
      </c>
      <c r="F63" s="170"/>
      <c r="G63" s="706">
        <f>SUM(G64)</f>
        <v>0</v>
      </c>
      <c r="H63" s="948">
        <f t="shared" si="0"/>
        <v>0</v>
      </c>
      <c r="I63" s="948">
        <f t="shared" si="1"/>
        <v>0</v>
      </c>
      <c r="J63" s="86">
        <f t="shared" si="2"/>
        <v>0</v>
      </c>
    </row>
    <row r="64" spans="1:10" s="912" customFormat="1" ht="23.65" customHeight="1" thickBot="1">
      <c r="C64" s="83"/>
      <c r="D64" s="706">
        <v>0</v>
      </c>
      <c r="E64" s="40" t="s">
        <v>899</v>
      </c>
      <c r="F64" s="170"/>
      <c r="G64" s="706">
        <v>0</v>
      </c>
      <c r="H64" s="948">
        <f t="shared" si="0"/>
        <v>0</v>
      </c>
      <c r="I64" s="948">
        <f t="shared" si="1"/>
        <v>0</v>
      </c>
      <c r="J64" s="86">
        <f t="shared" si="2"/>
        <v>0</v>
      </c>
    </row>
    <row r="65" spans="1:10" s="912" customFormat="1" ht="23.65" customHeight="1">
      <c r="A65" s="912">
        <v>2076</v>
      </c>
      <c r="B65" s="912">
        <v>2070</v>
      </c>
      <c r="C65" s="714">
        <f>SUM(C66)</f>
        <v>1890</v>
      </c>
      <c r="D65" s="714">
        <f>SUM(D66)</f>
        <v>2089</v>
      </c>
      <c r="E65" s="715" t="s">
        <v>900</v>
      </c>
      <c r="F65" s="716"/>
      <c r="G65" s="714">
        <f>SUM(G66)</f>
        <v>2006</v>
      </c>
      <c r="H65" s="948">
        <f t="shared" si="0"/>
        <v>-180</v>
      </c>
      <c r="I65" s="948">
        <f t="shared" si="1"/>
        <v>-186</v>
      </c>
      <c r="J65" s="86">
        <f t="shared" si="2"/>
        <v>-6</v>
      </c>
    </row>
    <row r="66" spans="1:10" s="912" customFormat="1" ht="31.5" customHeight="1">
      <c r="A66" s="912">
        <v>2076</v>
      </c>
      <c r="B66" s="912">
        <v>2070</v>
      </c>
      <c r="C66" s="706">
        <v>1890</v>
      </c>
      <c r="D66" s="706">
        <v>2089</v>
      </c>
      <c r="E66" s="40" t="s">
        <v>901</v>
      </c>
      <c r="F66" s="170"/>
      <c r="G66" s="706">
        <v>2006</v>
      </c>
      <c r="H66" s="948">
        <f t="shared" si="0"/>
        <v>-180</v>
      </c>
      <c r="I66" s="948">
        <f t="shared" si="1"/>
        <v>-186</v>
      </c>
      <c r="J66" s="86">
        <f t="shared" si="2"/>
        <v>-6</v>
      </c>
    </row>
    <row r="67" spans="1:10" s="912" customFormat="1" ht="23.65" customHeight="1">
      <c r="A67" s="912">
        <v>9213</v>
      </c>
      <c r="B67" s="912">
        <v>9357</v>
      </c>
      <c r="C67" s="706">
        <f>SUM(C68:C69)</f>
        <v>8811</v>
      </c>
      <c r="D67" s="706">
        <f>SUM(D68:D69)</f>
        <v>9731</v>
      </c>
      <c r="E67" s="66" t="s">
        <v>902</v>
      </c>
      <c r="F67" s="170"/>
      <c r="G67" s="706">
        <f>SUM(G68:G69)</f>
        <v>9083</v>
      </c>
      <c r="H67" s="948">
        <f t="shared" si="0"/>
        <v>-546</v>
      </c>
      <c r="I67" s="948">
        <f t="shared" si="1"/>
        <v>-402</v>
      </c>
      <c r="J67" s="86">
        <f t="shared" si="2"/>
        <v>144</v>
      </c>
    </row>
    <row r="68" spans="1:10" s="912" customFormat="1" ht="23.65" customHeight="1">
      <c r="A68" s="912">
        <v>8899</v>
      </c>
      <c r="B68" s="912">
        <v>9319</v>
      </c>
      <c r="C68" s="713">
        <v>8773</v>
      </c>
      <c r="D68" s="706">
        <v>9691</v>
      </c>
      <c r="E68" s="712" t="s">
        <v>977</v>
      </c>
      <c r="F68" s="170"/>
      <c r="G68" s="706">
        <v>9043</v>
      </c>
      <c r="H68" s="948">
        <f t="shared" si="0"/>
        <v>-546</v>
      </c>
      <c r="I68" s="948">
        <f t="shared" si="1"/>
        <v>-126</v>
      </c>
      <c r="J68" s="86">
        <f t="shared" si="2"/>
        <v>420</v>
      </c>
    </row>
    <row r="69" spans="1:10" s="912" customFormat="1" ht="23.65" customHeight="1">
      <c r="A69" s="912">
        <v>314</v>
      </c>
      <c r="B69" s="912">
        <v>38</v>
      </c>
      <c r="C69" s="706">
        <v>38</v>
      </c>
      <c r="D69" s="706">
        <v>40</v>
      </c>
      <c r="E69" s="40" t="s">
        <v>903</v>
      </c>
      <c r="F69" s="170"/>
      <c r="G69" s="706">
        <v>40</v>
      </c>
      <c r="H69" s="948">
        <f t="shared" si="0"/>
        <v>0</v>
      </c>
      <c r="I69" s="948">
        <f t="shared" si="1"/>
        <v>-276</v>
      </c>
      <c r="J69" s="86">
        <f t="shared" si="2"/>
        <v>-276</v>
      </c>
    </row>
    <row r="70" spans="1:10" s="912" customFormat="1" ht="23.65" customHeight="1">
      <c r="A70" s="912">
        <v>4682</v>
      </c>
      <c r="B70" s="912">
        <v>4213</v>
      </c>
      <c r="C70" s="713">
        <f>C71</f>
        <v>3845</v>
      </c>
      <c r="D70" s="706">
        <f>D71</f>
        <v>4248</v>
      </c>
      <c r="E70" s="66" t="s">
        <v>904</v>
      </c>
      <c r="F70" s="170"/>
      <c r="G70" s="706">
        <f>G71</f>
        <v>4077</v>
      </c>
      <c r="H70" s="948">
        <f t="shared" si="0"/>
        <v>-368</v>
      </c>
      <c r="I70" s="948">
        <f t="shared" si="1"/>
        <v>-837</v>
      </c>
      <c r="J70" s="86">
        <f t="shared" si="2"/>
        <v>-469</v>
      </c>
    </row>
    <row r="71" spans="1:10" s="912" customFormat="1" ht="23.65" customHeight="1">
      <c r="A71" s="912">
        <v>4682</v>
      </c>
      <c r="B71" s="912">
        <v>4213</v>
      </c>
      <c r="C71" s="706">
        <v>3845</v>
      </c>
      <c r="D71" s="706">
        <v>4248</v>
      </c>
      <c r="E71" s="40" t="s">
        <v>905</v>
      </c>
      <c r="F71" s="170"/>
      <c r="G71" s="706">
        <v>4077</v>
      </c>
      <c r="H71" s="948">
        <f t="shared" si="0"/>
        <v>-368</v>
      </c>
      <c r="I71" s="948">
        <f t="shared" si="1"/>
        <v>-837</v>
      </c>
      <c r="J71" s="86">
        <f t="shared" si="2"/>
        <v>-469</v>
      </c>
    </row>
    <row r="72" spans="1:10" s="912" customFormat="1" ht="23.65" customHeight="1">
      <c r="A72" s="912">
        <v>54</v>
      </c>
      <c r="B72" s="912">
        <v>54</v>
      </c>
      <c r="C72" s="706">
        <f>SUM(C73)</f>
        <v>170</v>
      </c>
      <c r="D72" s="706">
        <f>SUM(D73)</f>
        <v>168</v>
      </c>
      <c r="E72" s="66" t="s">
        <v>906</v>
      </c>
      <c r="F72" s="170"/>
      <c r="G72" s="706">
        <f>SUM(G73)</f>
        <v>173</v>
      </c>
      <c r="H72" s="948">
        <f t="shared" si="0"/>
        <v>116</v>
      </c>
      <c r="I72" s="948">
        <f t="shared" si="1"/>
        <v>116</v>
      </c>
      <c r="J72" s="86">
        <f t="shared" si="2"/>
        <v>0</v>
      </c>
    </row>
    <row r="73" spans="1:10" s="912" customFormat="1" ht="23.65" customHeight="1">
      <c r="A73" s="912">
        <v>54</v>
      </c>
      <c r="B73" s="912">
        <v>54</v>
      </c>
      <c r="C73" s="706">
        <v>170</v>
      </c>
      <c r="D73" s="706">
        <v>168</v>
      </c>
      <c r="E73" s="40" t="s">
        <v>907</v>
      </c>
      <c r="F73" s="170"/>
      <c r="G73" s="706">
        <v>173</v>
      </c>
      <c r="H73" s="948">
        <f t="shared" ref="H73:H94" si="3">C73-B73</f>
        <v>116</v>
      </c>
      <c r="I73" s="948">
        <f t="shared" ref="I73:I94" si="4">C73-A73</f>
        <v>116</v>
      </c>
      <c r="J73" s="86">
        <f t="shared" ref="J73:J94" si="5">B73-A73</f>
        <v>0</v>
      </c>
    </row>
    <row r="74" spans="1:10" s="912" customFormat="1" ht="23.65" customHeight="1">
      <c r="A74" s="912">
        <v>30019</v>
      </c>
      <c r="B74" s="912">
        <v>29580</v>
      </c>
      <c r="C74" s="706">
        <f t="shared" ref="C74:D74" si="6">C75+C79</f>
        <v>29288</v>
      </c>
      <c r="D74" s="706">
        <f t="shared" si="6"/>
        <v>34000</v>
      </c>
      <c r="E74" s="50" t="s">
        <v>908</v>
      </c>
      <c r="F74" s="39"/>
      <c r="G74" s="706">
        <f>G75+G79</f>
        <v>30000</v>
      </c>
      <c r="H74" s="948">
        <f t="shared" si="3"/>
        <v>-292</v>
      </c>
      <c r="I74" s="948">
        <f t="shared" si="4"/>
        <v>-731</v>
      </c>
      <c r="J74" s="86">
        <f t="shared" si="5"/>
        <v>-439</v>
      </c>
    </row>
    <row r="75" spans="1:10" s="912" customFormat="1" ht="23.65" customHeight="1">
      <c r="A75" s="912">
        <v>16810</v>
      </c>
      <c r="B75" s="912">
        <f>SUM(B76:B78)</f>
        <v>15911</v>
      </c>
      <c r="C75" s="706">
        <f>SUM(C76:C78)</f>
        <v>15778</v>
      </c>
      <c r="D75" s="706">
        <f t="shared" ref="D75" si="7">SUM(D76:D78)</f>
        <v>19994</v>
      </c>
      <c r="E75" s="707" t="s">
        <v>978</v>
      </c>
      <c r="F75" s="39"/>
      <c r="G75" s="706">
        <f>SUM(G76:G78)</f>
        <v>15994</v>
      </c>
      <c r="H75" s="948">
        <f t="shared" si="3"/>
        <v>-133</v>
      </c>
      <c r="I75" s="948">
        <f t="shared" si="4"/>
        <v>-1032</v>
      </c>
      <c r="J75" s="86">
        <f t="shared" si="5"/>
        <v>-899</v>
      </c>
    </row>
    <row r="76" spans="1:10" s="912" customFormat="1" ht="23.65" customHeight="1">
      <c r="A76" s="912">
        <v>14807</v>
      </c>
      <c r="B76" s="912">
        <v>14136</v>
      </c>
      <c r="C76" s="706">
        <v>13819</v>
      </c>
      <c r="D76" s="706">
        <v>17918</v>
      </c>
      <c r="E76" s="40" t="s">
        <v>909</v>
      </c>
      <c r="F76" s="39"/>
      <c r="G76" s="706">
        <v>14197</v>
      </c>
      <c r="H76" s="948">
        <f t="shared" si="3"/>
        <v>-317</v>
      </c>
      <c r="I76" s="948">
        <f t="shared" si="4"/>
        <v>-988</v>
      </c>
      <c r="J76" s="86">
        <f t="shared" si="5"/>
        <v>-671</v>
      </c>
    </row>
    <row r="77" spans="1:10" s="912" customFormat="1" ht="23.65" customHeight="1">
      <c r="A77" s="912">
        <v>901</v>
      </c>
      <c r="B77" s="912">
        <v>608</v>
      </c>
      <c r="C77" s="706">
        <v>374</v>
      </c>
      <c r="D77" s="706">
        <v>597</v>
      </c>
      <c r="E77" s="40" t="s">
        <v>910</v>
      </c>
      <c r="F77" s="39"/>
      <c r="G77" s="706">
        <v>169</v>
      </c>
      <c r="H77" s="948">
        <f t="shared" si="3"/>
        <v>-234</v>
      </c>
      <c r="I77" s="948">
        <f t="shared" si="4"/>
        <v>-527</v>
      </c>
      <c r="J77" s="86">
        <f t="shared" si="5"/>
        <v>-293</v>
      </c>
    </row>
    <row r="78" spans="1:10" s="912" customFormat="1" ht="23.65" customHeight="1">
      <c r="A78" s="912">
        <v>1102</v>
      </c>
      <c r="B78" s="912">
        <v>1167</v>
      </c>
      <c r="C78" s="706">
        <v>1585</v>
      </c>
      <c r="D78" s="706">
        <v>1479</v>
      </c>
      <c r="E78" s="40" t="s">
        <v>911</v>
      </c>
      <c r="F78" s="39"/>
      <c r="G78" s="706">
        <v>1628</v>
      </c>
      <c r="H78" s="948">
        <f t="shared" si="3"/>
        <v>418</v>
      </c>
      <c r="I78" s="948">
        <f t="shared" si="4"/>
        <v>483</v>
      </c>
      <c r="J78" s="86">
        <f t="shared" si="5"/>
        <v>65</v>
      </c>
    </row>
    <row r="79" spans="1:10" s="912" customFormat="1" ht="23.25" customHeight="1">
      <c r="A79" s="912">
        <v>13209</v>
      </c>
      <c r="B79" s="912">
        <v>13668</v>
      </c>
      <c r="C79" s="706">
        <f>C80+C81</f>
        <v>13510</v>
      </c>
      <c r="D79" s="706">
        <f>SUM(D80:D81)</f>
        <v>14006</v>
      </c>
      <c r="E79" s="66" t="s">
        <v>912</v>
      </c>
      <c r="F79" s="39"/>
      <c r="G79" s="706">
        <f>SUM(G80:G81)</f>
        <v>14006</v>
      </c>
      <c r="H79" s="948">
        <f t="shared" si="3"/>
        <v>-158</v>
      </c>
      <c r="I79" s="948">
        <f t="shared" si="4"/>
        <v>301</v>
      </c>
      <c r="J79" s="86">
        <f t="shared" si="5"/>
        <v>459</v>
      </c>
    </row>
    <row r="80" spans="1:10" s="912" customFormat="1" ht="23.65" customHeight="1">
      <c r="A80" s="912">
        <v>13208</v>
      </c>
      <c r="B80" s="912">
        <v>13662</v>
      </c>
      <c r="C80" s="706">
        <v>13504</v>
      </c>
      <c r="D80" s="706">
        <v>14000</v>
      </c>
      <c r="E80" s="40" t="s">
        <v>913</v>
      </c>
      <c r="F80" s="39"/>
      <c r="G80" s="706">
        <v>14000</v>
      </c>
      <c r="H80" s="948">
        <f t="shared" si="3"/>
        <v>-158</v>
      </c>
      <c r="I80" s="948">
        <f t="shared" si="4"/>
        <v>296</v>
      </c>
      <c r="J80" s="86">
        <f t="shared" si="5"/>
        <v>454</v>
      </c>
    </row>
    <row r="81" spans="1:10" s="912" customFormat="1" ht="23.65" customHeight="1">
      <c r="A81" s="912">
        <v>2</v>
      </c>
      <c r="B81" s="912">
        <v>6</v>
      </c>
      <c r="C81" s="706">
        <v>6</v>
      </c>
      <c r="D81" s="706">
        <v>6</v>
      </c>
      <c r="E81" s="40" t="s">
        <v>957</v>
      </c>
      <c r="F81" s="39"/>
      <c r="G81" s="706">
        <f>[5]概算版業內!$BC$2/1000</f>
        <v>6</v>
      </c>
      <c r="H81" s="948">
        <f t="shared" si="3"/>
        <v>0</v>
      </c>
      <c r="I81" s="948">
        <f t="shared" si="4"/>
        <v>4</v>
      </c>
      <c r="J81" s="86">
        <f t="shared" si="5"/>
        <v>4</v>
      </c>
    </row>
    <row r="82" spans="1:10" s="912" customFormat="1" ht="23.65" customHeight="1">
      <c r="A82" s="912">
        <v>0</v>
      </c>
      <c r="B82" s="912">
        <v>35</v>
      </c>
      <c r="C82" s="706">
        <f>C85+C88</f>
        <v>3</v>
      </c>
      <c r="D82" s="706">
        <f>D83+D85</f>
        <v>0</v>
      </c>
      <c r="E82" s="1116" t="s">
        <v>914</v>
      </c>
      <c r="F82" s="1117"/>
      <c r="G82" s="706">
        <f>G83+G85</f>
        <v>0</v>
      </c>
      <c r="H82" s="948">
        <f t="shared" si="3"/>
        <v>-32</v>
      </c>
      <c r="I82" s="948">
        <f t="shared" si="4"/>
        <v>3</v>
      </c>
      <c r="J82" s="86">
        <f t="shared" si="5"/>
        <v>35</v>
      </c>
    </row>
    <row r="83" spans="1:10" s="912" customFormat="1" ht="23.25" customHeight="1">
      <c r="A83" s="912">
        <v>0</v>
      </c>
      <c r="B83" s="912">
        <v>0</v>
      </c>
      <c r="C83" s="706">
        <f>SUM(C84)</f>
        <v>0</v>
      </c>
      <c r="D83" s="706">
        <f>SUM(D84)</f>
        <v>0</v>
      </c>
      <c r="E83" s="1120" t="s">
        <v>915</v>
      </c>
      <c r="F83" s="1121"/>
      <c r="G83" s="706">
        <f>SUM(G84)</f>
        <v>0</v>
      </c>
      <c r="H83" s="948">
        <f t="shared" si="3"/>
        <v>0</v>
      </c>
      <c r="I83" s="948">
        <f t="shared" si="4"/>
        <v>0</v>
      </c>
      <c r="J83" s="86">
        <f t="shared" si="5"/>
        <v>0</v>
      </c>
    </row>
    <row r="84" spans="1:10" s="912" customFormat="1" ht="23.65" customHeight="1">
      <c r="C84" s="706"/>
      <c r="D84" s="706"/>
      <c r="E84" s="1114" t="s">
        <v>916</v>
      </c>
      <c r="F84" s="1122"/>
      <c r="G84" s="706"/>
      <c r="H84" s="948">
        <f t="shared" si="3"/>
        <v>0</v>
      </c>
      <c r="I84" s="948">
        <f t="shared" si="4"/>
        <v>0</v>
      </c>
      <c r="J84" s="86">
        <f t="shared" si="5"/>
        <v>0</v>
      </c>
    </row>
    <row r="85" spans="1:10" s="912" customFormat="1" ht="23.65" customHeight="1">
      <c r="A85" s="912">
        <v>0</v>
      </c>
      <c r="B85" s="912">
        <v>0</v>
      </c>
      <c r="C85" s="706">
        <f>SUM(C86:C87)</f>
        <v>0</v>
      </c>
      <c r="D85" s="706">
        <f>SUM(D86:D87)</f>
        <v>0</v>
      </c>
      <c r="E85" s="1120" t="s">
        <v>917</v>
      </c>
      <c r="F85" s="1121"/>
      <c r="G85" s="706">
        <f>SUM(G86:G87)</f>
        <v>0</v>
      </c>
      <c r="H85" s="948">
        <f t="shared" si="3"/>
        <v>0</v>
      </c>
      <c r="I85" s="948">
        <f t="shared" si="4"/>
        <v>0</v>
      </c>
      <c r="J85" s="86">
        <f t="shared" si="5"/>
        <v>0</v>
      </c>
    </row>
    <row r="86" spans="1:10" s="912" customFormat="1" ht="23.65" customHeight="1">
      <c r="C86" s="706"/>
      <c r="D86" s="706">
        <v>0</v>
      </c>
      <c r="E86" s="1114" t="s">
        <v>918</v>
      </c>
      <c r="F86" s="1122"/>
      <c r="G86" s="706">
        <v>0</v>
      </c>
      <c r="H86" s="948">
        <f t="shared" si="3"/>
        <v>0</v>
      </c>
      <c r="I86" s="948">
        <f t="shared" si="4"/>
        <v>0</v>
      </c>
      <c r="J86" s="86">
        <f t="shared" si="5"/>
        <v>0</v>
      </c>
    </row>
    <row r="87" spans="1:10" s="912" customFormat="1" ht="23.65" customHeight="1">
      <c r="C87" s="706"/>
      <c r="D87" s="706"/>
      <c r="E87" s="938" t="s">
        <v>919</v>
      </c>
      <c r="F87" s="939"/>
      <c r="G87" s="706"/>
      <c r="H87" s="948">
        <f t="shared" si="3"/>
        <v>0</v>
      </c>
      <c r="I87" s="948">
        <f t="shared" si="4"/>
        <v>0</v>
      </c>
      <c r="J87" s="86">
        <f t="shared" si="5"/>
        <v>0</v>
      </c>
    </row>
    <row r="88" spans="1:10" s="912" customFormat="1" ht="23.65" customHeight="1">
      <c r="A88" s="912">
        <v>0</v>
      </c>
      <c r="B88" s="912">
        <v>35</v>
      </c>
      <c r="C88" s="706">
        <f>C89</f>
        <v>3</v>
      </c>
      <c r="D88" s="706"/>
      <c r="E88" s="1120" t="s">
        <v>920</v>
      </c>
      <c r="F88" s="1123"/>
      <c r="G88" s="706"/>
      <c r="H88" s="948">
        <f t="shared" si="3"/>
        <v>-32</v>
      </c>
      <c r="I88" s="948">
        <f t="shared" si="4"/>
        <v>3</v>
      </c>
      <c r="J88" s="86">
        <f t="shared" si="5"/>
        <v>35</v>
      </c>
    </row>
    <row r="89" spans="1:10" s="912" customFormat="1" ht="23.65" customHeight="1">
      <c r="A89" s="912">
        <v>0</v>
      </c>
      <c r="B89" s="912">
        <v>35</v>
      </c>
      <c r="C89" s="706">
        <v>3</v>
      </c>
      <c r="D89" s="943"/>
      <c r="E89" s="1114" t="s">
        <v>921</v>
      </c>
      <c r="F89" s="1115"/>
      <c r="G89" s="943"/>
      <c r="H89" s="948">
        <f t="shared" si="3"/>
        <v>-32</v>
      </c>
      <c r="I89" s="948">
        <f t="shared" si="4"/>
        <v>3</v>
      </c>
      <c r="J89" s="86">
        <f t="shared" si="5"/>
        <v>35</v>
      </c>
    </row>
    <row r="90" spans="1:10" s="912" customFormat="1" ht="35.25" customHeight="1">
      <c r="A90" s="912">
        <v>0</v>
      </c>
      <c r="B90" s="912">
        <v>0</v>
      </c>
      <c r="C90" s="83">
        <f>C91</f>
        <v>0</v>
      </c>
      <c r="D90" s="706">
        <f>D91</f>
        <v>0</v>
      </c>
      <c r="E90" s="1116" t="s">
        <v>922</v>
      </c>
      <c r="F90" s="1117"/>
      <c r="G90" s="706">
        <f>G91</f>
        <v>0</v>
      </c>
      <c r="H90" s="948">
        <f t="shared" si="3"/>
        <v>0</v>
      </c>
      <c r="I90" s="948">
        <f t="shared" si="4"/>
        <v>0</v>
      </c>
      <c r="J90" s="86">
        <f t="shared" si="5"/>
        <v>0</v>
      </c>
    </row>
    <row r="91" spans="1:10" s="912" customFormat="1" ht="23.65" customHeight="1">
      <c r="A91" s="912">
        <v>0</v>
      </c>
      <c r="B91" s="912">
        <v>0</v>
      </c>
      <c r="C91" s="83">
        <f>C92</f>
        <v>0</v>
      </c>
      <c r="D91" s="706">
        <f>D92</f>
        <v>0</v>
      </c>
      <c r="E91" s="66" t="s">
        <v>923</v>
      </c>
      <c r="F91" s="39"/>
      <c r="G91" s="706">
        <f>G92</f>
        <v>0</v>
      </c>
      <c r="H91" s="948">
        <f t="shared" si="3"/>
        <v>0</v>
      </c>
      <c r="I91" s="948">
        <f t="shared" si="4"/>
        <v>0</v>
      </c>
      <c r="J91" s="86">
        <f t="shared" si="5"/>
        <v>0</v>
      </c>
    </row>
    <row r="92" spans="1:10" s="912" customFormat="1" ht="23.65" customHeight="1">
      <c r="A92" s="912">
        <v>0</v>
      </c>
      <c r="B92" s="912">
        <v>0</v>
      </c>
      <c r="C92" s="83">
        <v>0</v>
      </c>
      <c r="D92" s="706">
        <v>0</v>
      </c>
      <c r="E92" s="40" t="s">
        <v>925</v>
      </c>
      <c r="F92" s="39"/>
      <c r="G92" s="706">
        <f>1200-1200</f>
        <v>0</v>
      </c>
      <c r="H92" s="948">
        <f t="shared" si="3"/>
        <v>0</v>
      </c>
      <c r="I92" s="948">
        <f t="shared" si="4"/>
        <v>0</v>
      </c>
      <c r="J92" s="86">
        <f t="shared" si="5"/>
        <v>0</v>
      </c>
    </row>
    <row r="93" spans="1:10" s="912" customFormat="1" ht="23.65" customHeight="1">
      <c r="C93" s="83"/>
      <c r="D93" s="706"/>
      <c r="E93" s="61"/>
      <c r="F93" s="39"/>
      <c r="G93" s="706"/>
      <c r="H93" s="948">
        <f t="shared" si="3"/>
        <v>0</v>
      </c>
      <c r="I93" s="948">
        <f t="shared" si="4"/>
        <v>0</v>
      </c>
      <c r="J93" s="86">
        <f t="shared" si="5"/>
        <v>0</v>
      </c>
    </row>
    <row r="94" spans="1:10" ht="30.75" customHeight="1" thickBot="1">
      <c r="A94" s="912">
        <v>561075</v>
      </c>
      <c r="B94" s="912">
        <v>572974</v>
      </c>
      <c r="C94" s="710">
        <f>C8</f>
        <v>573116</v>
      </c>
      <c r="D94" s="710">
        <f>D8</f>
        <v>603715</v>
      </c>
      <c r="E94" s="1118" t="s">
        <v>924</v>
      </c>
      <c r="F94" s="1119"/>
      <c r="G94" s="710">
        <f>G8</f>
        <v>601414</v>
      </c>
      <c r="H94" s="948">
        <f t="shared" si="3"/>
        <v>142</v>
      </c>
      <c r="I94" s="949">
        <f t="shared" si="4"/>
        <v>12041</v>
      </c>
      <c r="J94" s="950">
        <f t="shared" si="5"/>
        <v>11899</v>
      </c>
    </row>
    <row r="95" spans="1:10">
      <c r="E95" s="86"/>
    </row>
  </sheetData>
  <autoFilter ref="A7:V94">
    <filterColumn colId="4" showButton="0"/>
  </autoFilter>
  <mergeCells count="24">
    <mergeCell ref="E62:F62"/>
    <mergeCell ref="C1:G1"/>
    <mergeCell ref="C2:G2"/>
    <mergeCell ref="C3:G3"/>
    <mergeCell ref="C4:G4"/>
    <mergeCell ref="C5:G5"/>
    <mergeCell ref="C6:C7"/>
    <mergeCell ref="D6:D7"/>
    <mergeCell ref="E6:F7"/>
    <mergeCell ref="G6:G7"/>
    <mergeCell ref="E34:F34"/>
    <mergeCell ref="E35:F35"/>
    <mergeCell ref="E36:F36"/>
    <mergeCell ref="E51:F51"/>
    <mergeCell ref="E55:F55"/>
    <mergeCell ref="E89:F89"/>
    <mergeCell ref="E90:F90"/>
    <mergeCell ref="E94:F94"/>
    <mergeCell ref="E82:F82"/>
    <mergeCell ref="E83:F83"/>
    <mergeCell ref="E84:F84"/>
    <mergeCell ref="E85:F85"/>
    <mergeCell ref="E86:F86"/>
    <mergeCell ref="E88:F88"/>
  </mergeCells>
  <phoneticPr fontId="14" type="noConversion"/>
  <printOptions horizontalCentered="1"/>
  <pageMargins left="0.6692913385826772" right="0.6692913385826772" top="0.59055118110236227" bottom="0.78740157480314965" header="0.51181102362204722" footer="0.51181102362204722"/>
  <pageSetup paperSize="9" scale="97" firstPageNumber="19" orientation="portrait" blackAndWhite="1" useFirstPageNumber="1" r:id="rId1"/>
  <headerFooter alignWithMargins="0">
    <oddFooter>&amp;C&amp;"Arial Unicode MS,標準"&amp;P</oddFooter>
  </headerFooter>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I38" sqref="I38"/>
    </sheetView>
  </sheetViews>
  <sheetFormatPr defaultColWidth="9" defaultRowHeight="16.5"/>
  <cols>
    <col min="1" max="8" width="9" style="1"/>
    <col min="9" max="9" width="14.125" style="1" customWidth="1"/>
    <col min="10" max="16384" width="9" style="1"/>
  </cols>
  <sheetData>
    <row r="18" spans="1:9" ht="59.25" customHeight="1">
      <c r="A18" s="977" t="s">
        <v>248</v>
      </c>
      <c r="B18" s="978"/>
      <c r="C18" s="978"/>
      <c r="D18" s="978"/>
      <c r="E18" s="978"/>
      <c r="F18" s="978"/>
      <c r="G18" s="978"/>
      <c r="H18" s="978"/>
      <c r="I18" s="978"/>
    </row>
  </sheetData>
  <mergeCells count="1">
    <mergeCell ref="A18:I18"/>
  </mergeCells>
  <phoneticPr fontId="14" type="noConversion"/>
  <pageMargins left="0.74803149606299213" right="0.74803149606299213" top="0.59055118110236227"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CC"/>
  </sheetPr>
  <dimension ref="A1:F33"/>
  <sheetViews>
    <sheetView view="pageBreakPreview" zoomScaleNormal="100" zoomScaleSheetLayoutView="100" workbookViewId="0">
      <selection activeCell="A19" sqref="A19"/>
    </sheetView>
  </sheetViews>
  <sheetFormatPr defaultColWidth="9" defaultRowHeight="16.5"/>
  <cols>
    <col min="1" max="2" width="17.625" style="64" customWidth="1"/>
    <col min="3" max="3" width="7.625" style="64" customWidth="1"/>
    <col min="4" max="4" width="31.375" style="64" customWidth="1"/>
    <col min="5" max="5" width="18" style="64" customWidth="1"/>
    <col min="6" max="6" width="8.75" style="64" hidden="1" customWidth="1"/>
    <col min="7" max="16384" width="9" style="64"/>
  </cols>
  <sheetData>
    <row r="1" spans="1:6" ht="25.5">
      <c r="A1" s="1108" t="s">
        <v>144</v>
      </c>
      <c r="B1" s="1108"/>
      <c r="C1" s="1108"/>
      <c r="D1" s="1108"/>
      <c r="E1" s="1108"/>
      <c r="F1" s="835"/>
    </row>
    <row r="2" spans="1:6" ht="21">
      <c r="A2" s="1109" t="s">
        <v>145</v>
      </c>
      <c r="B2" s="1109"/>
      <c r="C2" s="1109"/>
      <c r="D2" s="1109"/>
      <c r="E2" s="1109"/>
      <c r="F2" s="901"/>
    </row>
    <row r="3" spans="1:6" ht="21">
      <c r="A3" s="1110" t="s">
        <v>317</v>
      </c>
      <c r="B3" s="1110"/>
      <c r="C3" s="1110"/>
      <c r="D3" s="1110"/>
      <c r="E3" s="1110"/>
      <c r="F3" s="902"/>
    </row>
    <row r="4" spans="1:6" ht="19.5">
      <c r="A4" s="1111" t="s">
        <v>1077</v>
      </c>
      <c r="B4" s="1111"/>
      <c r="C4" s="1111"/>
      <c r="D4" s="1111"/>
      <c r="E4" s="1111"/>
      <c r="F4" s="903"/>
    </row>
    <row r="5" spans="1:6" ht="17.25" thickBot="1">
      <c r="C5" s="903"/>
      <c r="D5" s="903"/>
      <c r="E5" s="904" t="s">
        <v>619</v>
      </c>
      <c r="F5" s="29"/>
    </row>
    <row r="6" spans="1:6" s="86" customFormat="1" ht="21" customHeight="1">
      <c r="A6" s="1143" t="s">
        <v>346</v>
      </c>
      <c r="B6" s="1070" t="s">
        <v>62</v>
      </c>
      <c r="C6" s="1070" t="s">
        <v>63</v>
      </c>
      <c r="D6" s="1070"/>
      <c r="E6" s="1072" t="s">
        <v>64</v>
      </c>
      <c r="F6" s="905"/>
    </row>
    <row r="7" spans="1:6" s="86" customFormat="1" ht="21" customHeight="1" thickBot="1">
      <c r="A7" s="1144"/>
      <c r="B7" s="1071"/>
      <c r="C7" s="1071"/>
      <c r="D7" s="1071"/>
      <c r="E7" s="1073"/>
      <c r="F7" s="906"/>
    </row>
    <row r="8" spans="1:6" s="86" customFormat="1" ht="25.15" customHeight="1">
      <c r="A8" s="957">
        <f>SUM(A9)</f>
        <v>123</v>
      </c>
      <c r="B8" s="955">
        <f>SUM(B9)</f>
        <v>1112</v>
      </c>
      <c r="C8" s="907" t="s">
        <v>77</v>
      </c>
      <c r="D8" s="908"/>
      <c r="E8" s="909">
        <f>SUM(E9)</f>
        <v>0</v>
      </c>
      <c r="F8" s="910"/>
    </row>
    <row r="9" spans="1:6" s="912" customFormat="1" ht="25.15" customHeight="1">
      <c r="A9" s="757">
        <f>SUM(A10,A19,A22,A26)</f>
        <v>123</v>
      </c>
      <c r="B9" s="686">
        <f>SUM(B10,B19,B22)</f>
        <v>1112</v>
      </c>
      <c r="C9" s="1125" t="s">
        <v>590</v>
      </c>
      <c r="D9" s="1140"/>
      <c r="E9" s="911">
        <f>SUM(E10,E19,E22)</f>
        <v>0</v>
      </c>
      <c r="F9" s="23" t="e">
        <f>#REF!</f>
        <v>#REF!</v>
      </c>
    </row>
    <row r="10" spans="1:6" s="914" customFormat="1" ht="25.15" customHeight="1">
      <c r="A10" s="958">
        <f>SUM(A11:A18)-1</f>
        <v>123</v>
      </c>
      <c r="B10" s="956">
        <f>SUM(B11:B18)</f>
        <v>1012</v>
      </c>
      <c r="C10" s="67" t="s">
        <v>82</v>
      </c>
      <c r="D10" s="368"/>
      <c r="E10" s="913">
        <f>SUM(E11:E18)</f>
        <v>0</v>
      </c>
      <c r="F10" s="616"/>
    </row>
    <row r="11" spans="1:6" s="916" customFormat="1" ht="25.15" customHeight="1">
      <c r="A11" s="679">
        <f>'23.其他業務成本明細7級(X)'!A10</f>
        <v>0</v>
      </c>
      <c r="B11" s="594">
        <v>380</v>
      </c>
      <c r="C11" s="170" t="s">
        <v>65</v>
      </c>
      <c r="D11" s="151"/>
      <c r="E11" s="915">
        <f>'23.其他業務成本明細7級(X)'!E10</f>
        <v>0</v>
      </c>
      <c r="F11" s="23" t="e">
        <f>SUM(#REF!)</f>
        <v>#REF!</v>
      </c>
    </row>
    <row r="12" spans="1:6" s="916" customFormat="1" ht="25.15" customHeight="1">
      <c r="A12" s="959">
        <v>64</v>
      </c>
      <c r="B12" s="954">
        <v>100</v>
      </c>
      <c r="C12" s="170" t="s">
        <v>66</v>
      </c>
      <c r="D12" s="151"/>
      <c r="E12" s="917">
        <f>'23.其他業務成本明細7級(X)'!E14</f>
        <v>0</v>
      </c>
      <c r="F12" s="23"/>
    </row>
    <row r="13" spans="1:6" s="916" customFormat="1" ht="25.15" hidden="1" customHeight="1">
      <c r="A13" s="959">
        <v>0</v>
      </c>
      <c r="B13" s="954">
        <v>0</v>
      </c>
      <c r="C13" s="170" t="s">
        <v>67</v>
      </c>
      <c r="D13" s="151"/>
      <c r="E13" s="917">
        <f>'23.其他業務成本明細7級(X)'!E18</f>
        <v>0</v>
      </c>
      <c r="F13" s="38"/>
    </row>
    <row r="14" spans="1:6" ht="25.15" customHeight="1">
      <c r="A14" s="679">
        <v>0</v>
      </c>
      <c r="B14" s="594">
        <v>10</v>
      </c>
      <c r="C14" s="170" t="s">
        <v>68</v>
      </c>
      <c r="D14" s="151"/>
      <c r="E14" s="915">
        <f>'23.其他業務成本明細7級(X)'!E21</f>
        <v>0</v>
      </c>
    </row>
    <row r="15" spans="1:6" ht="25.15" customHeight="1">
      <c r="A15" s="679">
        <v>0</v>
      </c>
      <c r="B15" s="594">
        <v>460</v>
      </c>
      <c r="C15" s="170" t="s">
        <v>84</v>
      </c>
      <c r="D15" s="151"/>
      <c r="E15" s="915">
        <v>0</v>
      </c>
    </row>
    <row r="16" spans="1:6" ht="25.15" hidden="1" customHeight="1">
      <c r="A16" s="679">
        <f>'23.其他業務成本明細7級(X)'!A27</f>
        <v>0</v>
      </c>
      <c r="B16" s="594">
        <f>'23.其他業務成本明細7級(X)'!B27</f>
        <v>0</v>
      </c>
      <c r="C16" s="170" t="s">
        <v>69</v>
      </c>
      <c r="D16" s="151"/>
      <c r="E16" s="915">
        <f>'23.其他業務成本明細7級(X)'!E27</f>
        <v>0</v>
      </c>
    </row>
    <row r="17" spans="1:5" ht="25.15" customHeight="1">
      <c r="A17" s="679">
        <v>60</v>
      </c>
      <c r="B17" s="594">
        <v>62</v>
      </c>
      <c r="C17" s="170" t="s">
        <v>70</v>
      </c>
      <c r="D17" s="151"/>
      <c r="E17" s="915">
        <f>'23.其他業務成本明細7級(X)'!E30</f>
        <v>0</v>
      </c>
    </row>
    <row r="18" spans="1:5" ht="25.15" hidden="1" customHeight="1">
      <c r="A18" s="679">
        <f>'23.其他業務成本明細7級(X)'!A34</f>
        <v>0</v>
      </c>
      <c r="B18" s="594">
        <f>'23.其他業務成本明細7級(X)'!B34</f>
        <v>0</v>
      </c>
      <c r="C18" s="170" t="s">
        <v>71</v>
      </c>
      <c r="D18" s="151"/>
      <c r="E18" s="915">
        <f>'23.其他業務成本明細7級(X)'!E34</f>
        <v>0</v>
      </c>
    </row>
    <row r="19" spans="1:5" s="683" customFormat="1" ht="25.15" customHeight="1">
      <c r="A19" s="757">
        <f>SUM(A20:A21)</f>
        <v>0</v>
      </c>
      <c r="B19" s="686">
        <f>SUM(B20:B21)</f>
        <v>100</v>
      </c>
      <c r="C19" s="67" t="s">
        <v>940</v>
      </c>
      <c r="D19" s="395"/>
      <c r="E19" s="911">
        <f>SUM(E20:E21)</f>
        <v>0</v>
      </c>
    </row>
    <row r="20" spans="1:5" ht="25.15" hidden="1" customHeight="1">
      <c r="A20" s="679">
        <f>'23.其他業務成本明細7級(X)'!A37</f>
        <v>0</v>
      </c>
      <c r="B20" s="594">
        <f>'23.其他業務成本明細7級(X)'!B37</f>
        <v>0</v>
      </c>
      <c r="C20" s="170" t="s">
        <v>72</v>
      </c>
      <c r="D20" s="151"/>
      <c r="E20" s="915">
        <f>'23.其他業務成本明細7級(X)'!E37</f>
        <v>0</v>
      </c>
    </row>
    <row r="21" spans="1:5" ht="25.15" customHeight="1">
      <c r="A21" s="679">
        <v>0</v>
      </c>
      <c r="B21" s="594">
        <v>100</v>
      </c>
      <c r="C21" s="170" t="s">
        <v>73</v>
      </c>
      <c r="D21" s="151"/>
      <c r="E21" s="915">
        <f>'23.其他業務成本明細7級(X)'!E40</f>
        <v>0</v>
      </c>
    </row>
    <row r="22" spans="1:5" s="683" customFormat="1" ht="25.15" hidden="1" customHeight="1">
      <c r="A22" s="369">
        <f>SUM(A23:A25)</f>
        <v>0</v>
      </c>
      <c r="B22" s="149">
        <f>SUM(B23:C25)</f>
        <v>0</v>
      </c>
      <c r="C22" s="67" t="s">
        <v>591</v>
      </c>
      <c r="D22" s="395"/>
      <c r="E22" s="911">
        <f>SUM(E23:F25)</f>
        <v>0</v>
      </c>
    </row>
    <row r="23" spans="1:5" ht="25.15" hidden="1" customHeight="1">
      <c r="A23" s="156">
        <f>'23.其他業務成本明細7級(X)'!A47</f>
        <v>0</v>
      </c>
      <c r="B23" s="126">
        <f>'23.其他業務成本明細7級(X)'!B47</f>
        <v>0</v>
      </c>
      <c r="C23" s="170" t="s">
        <v>25</v>
      </c>
      <c r="D23" s="151"/>
      <c r="E23" s="915">
        <f>'23.其他業務成本明細7級(X)'!E47</f>
        <v>0</v>
      </c>
    </row>
    <row r="24" spans="1:5" ht="25.15" hidden="1" customHeight="1">
      <c r="A24" s="156">
        <f>'23.其他業務成本明細7級(X)'!A49</f>
        <v>0</v>
      </c>
      <c r="B24" s="126">
        <f>'23.其他業務成本明細7級(X)'!B49</f>
        <v>0</v>
      </c>
      <c r="C24" s="170" t="s">
        <v>26</v>
      </c>
      <c r="D24" s="151"/>
      <c r="E24" s="915">
        <f>'23.其他業務成本明細7級(X)'!E49</f>
        <v>0</v>
      </c>
    </row>
    <row r="25" spans="1:5" ht="25.15" hidden="1" customHeight="1">
      <c r="A25" s="156">
        <f>'23.其他業務成本明細7級(X)'!A51</f>
        <v>0</v>
      </c>
      <c r="B25" s="126">
        <f>'23.其他業務成本明細7級(X)'!B51</f>
        <v>0</v>
      </c>
      <c r="C25" s="170" t="s">
        <v>74</v>
      </c>
      <c r="D25" s="151"/>
      <c r="E25" s="915">
        <f>'23.其他業務成本明細7級(X)'!E51</f>
        <v>0</v>
      </c>
    </row>
    <row r="26" spans="1:5" s="683" customFormat="1" ht="25.15" hidden="1" customHeight="1">
      <c r="A26" s="369">
        <f>SUM(A27)</f>
        <v>0</v>
      </c>
      <c r="B26" s="149">
        <f>SUM(B27)</f>
        <v>0</v>
      </c>
      <c r="C26" s="67" t="s">
        <v>941</v>
      </c>
      <c r="D26" s="395"/>
      <c r="E26" s="911">
        <f>SUM(E27)</f>
        <v>0</v>
      </c>
    </row>
    <row r="27" spans="1:5" ht="25.15" hidden="1" customHeight="1">
      <c r="A27" s="156">
        <f>'23.其他業務成本明細7級(X)'!A54</f>
        <v>0</v>
      </c>
      <c r="B27" s="126">
        <f>'23.其他業務成本明細7級(X)'!B53</f>
        <v>0</v>
      </c>
      <c r="C27" s="170" t="s">
        <v>23</v>
      </c>
      <c r="D27" s="151"/>
      <c r="E27" s="915">
        <f>'23.其他業務成本明細7級(X)'!E53</f>
        <v>0</v>
      </c>
    </row>
    <row r="28" spans="1:5" ht="25.15" customHeight="1">
      <c r="A28" s="156"/>
      <c r="B28" s="126"/>
      <c r="C28" s="170"/>
      <c r="D28" s="151"/>
      <c r="E28" s="915"/>
    </row>
    <row r="29" spans="1:5" ht="25.15" customHeight="1">
      <c r="A29" s="156"/>
      <c r="B29" s="126"/>
      <c r="C29" s="170"/>
      <c r="D29" s="151"/>
      <c r="E29" s="915"/>
    </row>
    <row r="30" spans="1:5" ht="25.15" customHeight="1">
      <c r="A30" s="156"/>
      <c r="B30" s="126"/>
      <c r="C30" s="170"/>
      <c r="D30" s="151"/>
      <c r="E30" s="915"/>
    </row>
    <row r="31" spans="1:5" ht="25.15" customHeight="1">
      <c r="A31" s="156"/>
      <c r="B31" s="126"/>
      <c r="C31" s="66"/>
      <c r="D31" s="151"/>
      <c r="E31" s="915"/>
    </row>
    <row r="32" spans="1:5" ht="25.15" customHeight="1">
      <c r="A32" s="156"/>
      <c r="B32" s="126"/>
      <c r="C32" s="60"/>
      <c r="D32" s="157"/>
      <c r="E32" s="915"/>
    </row>
    <row r="33" spans="1:5" s="683" customFormat="1" ht="276.60000000000002" customHeight="1" thickBot="1">
      <c r="A33" s="918">
        <f>A8</f>
        <v>123</v>
      </c>
      <c r="B33" s="919">
        <f>B8</f>
        <v>1112</v>
      </c>
      <c r="C33" s="1141" t="s">
        <v>424</v>
      </c>
      <c r="D33" s="1142"/>
      <c r="E33" s="920">
        <f>E8</f>
        <v>0</v>
      </c>
    </row>
  </sheetData>
  <mergeCells count="10">
    <mergeCell ref="C9:D9"/>
    <mergeCell ref="C33:D33"/>
    <mergeCell ref="A6:A7"/>
    <mergeCell ref="E6:E7"/>
    <mergeCell ref="C6:D7"/>
    <mergeCell ref="A1:E1"/>
    <mergeCell ref="A2:E2"/>
    <mergeCell ref="A3:E3"/>
    <mergeCell ref="A4:E4"/>
    <mergeCell ref="B6:B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6" orientation="portrait" blackAndWhite="1" useFirstPageNumber="1" r:id="rId1"/>
  <headerFooter scaleWithDoc="0" alignWithMargins="0">
    <oddFooter>&amp;C&amp;"Arial Unicode MS,標準"&amp;P</oddFooter>
  </headerFooter>
</worksheet>
</file>

<file path=xl/worksheets/sheet21.xml><?xml version="1.0" encoding="utf-8"?>
<worksheet xmlns="http://schemas.openxmlformats.org/spreadsheetml/2006/main" xmlns:r="http://schemas.openxmlformats.org/officeDocument/2006/relationships">
  <sheetPr codeName="Sheet20"/>
  <dimension ref="A1:G76"/>
  <sheetViews>
    <sheetView view="pageBreakPreview" topLeftCell="A7" zoomScaleNormal="75" zoomScaleSheetLayoutView="75" workbookViewId="0">
      <selection activeCell="A15" sqref="A15"/>
    </sheetView>
  </sheetViews>
  <sheetFormatPr defaultColWidth="9" defaultRowHeight="16.5"/>
  <cols>
    <col min="1" max="2" width="15.625" style="30" customWidth="1"/>
    <col min="3" max="3" width="7.625" style="30" customWidth="1"/>
    <col min="4" max="4" width="35.625" style="30" customWidth="1"/>
    <col min="5" max="5" width="15.625" style="30" customWidth="1"/>
    <col min="6" max="6" width="8.75" style="30" hidden="1" customWidth="1"/>
    <col min="7" max="7" width="9.25" style="122" bestFit="1" customWidth="1"/>
    <col min="8" max="16384" width="9" style="30"/>
  </cols>
  <sheetData>
    <row r="1" spans="1:7" ht="25.5">
      <c r="A1" s="1017" t="s">
        <v>436</v>
      </c>
      <c r="B1" s="1017"/>
      <c r="C1" s="1017"/>
      <c r="D1" s="1017"/>
      <c r="E1" s="1017"/>
      <c r="F1" s="32"/>
    </row>
    <row r="2" spans="1:7" ht="21">
      <c r="A2" s="1028" t="s">
        <v>437</v>
      </c>
      <c r="B2" s="1028"/>
      <c r="C2" s="1028"/>
      <c r="D2" s="1028"/>
      <c r="E2" s="1028"/>
      <c r="F2" s="33"/>
    </row>
    <row r="3" spans="1:7" ht="21">
      <c r="A3" s="1027" t="s">
        <v>19</v>
      </c>
      <c r="B3" s="1027"/>
      <c r="C3" s="1027"/>
      <c r="D3" s="1027"/>
      <c r="E3" s="1027"/>
      <c r="F3" s="34"/>
    </row>
    <row r="4" spans="1:7" ht="19.5">
      <c r="A4" s="1145" t="s">
        <v>1077</v>
      </c>
      <c r="B4" s="1145"/>
      <c r="C4" s="1145"/>
      <c r="D4" s="1145"/>
      <c r="E4" s="1145"/>
      <c r="F4" s="35"/>
    </row>
    <row r="5" spans="1:7" ht="17.25" thickBot="1">
      <c r="A5" s="1157" t="s">
        <v>624</v>
      </c>
      <c r="B5" s="1157"/>
      <c r="C5" s="1157"/>
      <c r="D5" s="1157"/>
      <c r="E5" s="1157"/>
      <c r="F5" s="37"/>
    </row>
    <row r="6" spans="1:7" s="41" customFormat="1" ht="21" customHeight="1">
      <c r="A6" s="1146" t="s">
        <v>438</v>
      </c>
      <c r="B6" s="1146" t="s">
        <v>439</v>
      </c>
      <c r="C6" s="1149" t="s">
        <v>440</v>
      </c>
      <c r="D6" s="1150"/>
      <c r="E6" s="1148" t="s">
        <v>441</v>
      </c>
      <c r="F6" s="54"/>
      <c r="G6" s="123"/>
    </row>
    <row r="7" spans="1:7" s="41" customFormat="1" ht="21" customHeight="1" thickBot="1">
      <c r="A7" s="1147"/>
      <c r="B7" s="1147"/>
      <c r="C7" s="1151"/>
      <c r="D7" s="1152"/>
      <c r="E7" s="1147"/>
      <c r="F7" s="55"/>
      <c r="G7" s="123"/>
    </row>
    <row r="8" spans="1:7" s="41" customFormat="1" ht="23.25" customHeight="1">
      <c r="A8" s="703">
        <f>SUM(A9,A36,A46,A53)</f>
        <v>178</v>
      </c>
      <c r="B8" s="28">
        <f>SUM(B9,B36,B46,B53)</f>
        <v>0</v>
      </c>
      <c r="C8" s="42" t="s">
        <v>20</v>
      </c>
      <c r="D8" s="43"/>
      <c r="E8" s="703">
        <f>SUM(E9,E36,E46,E53)</f>
        <v>0</v>
      </c>
      <c r="F8" s="28" t="e">
        <f>#REF!+F9+F36+F46+#REF!+#REF!+#REF!+#REF!+#REF!</f>
        <v>#REF!</v>
      </c>
      <c r="G8" s="123" t="e">
        <f t="shared" ref="G8:G32" si="0">E8/B8</f>
        <v>#DIV/0!</v>
      </c>
    </row>
    <row r="9" spans="1:7" s="44" customFormat="1" ht="23.25" customHeight="1">
      <c r="A9" s="704">
        <f>SUM(A10,A14,A18,A21,A23,A27,A30,A34)+1</f>
        <v>168</v>
      </c>
      <c r="B9" s="23">
        <f>SUM(B10,B14,B18,B21,B23,B27,B30,B34)</f>
        <v>0</v>
      </c>
      <c r="C9" s="50" t="s">
        <v>442</v>
      </c>
      <c r="D9" s="38"/>
      <c r="E9" s="704">
        <f>SUM(E10,E14,E18,E21,E23,E27,E30,E34)</f>
        <v>0</v>
      </c>
      <c r="F9" s="23" t="e">
        <f>SUM(F10,F14,F18,F21,F34,F30,#REF!)</f>
        <v>#REF!</v>
      </c>
      <c r="G9" s="123" t="e">
        <f t="shared" si="0"/>
        <v>#DIV/0!</v>
      </c>
    </row>
    <row r="10" spans="1:7" s="44" customFormat="1" ht="23.25" customHeight="1">
      <c r="A10" s="704">
        <f>SUM(A11:A13)</f>
        <v>0</v>
      </c>
      <c r="B10" s="23">
        <f>SUM(B11:C13)</f>
        <v>0</v>
      </c>
      <c r="C10" s="151" t="s">
        <v>443</v>
      </c>
      <c r="D10" s="38"/>
      <c r="E10" s="704">
        <f>SUM(E11:F13)</f>
        <v>0</v>
      </c>
      <c r="F10" s="23">
        <f>SUM(F11:F12)</f>
        <v>0</v>
      </c>
      <c r="G10" s="123" t="e">
        <f t="shared" si="0"/>
        <v>#DIV/0!</v>
      </c>
    </row>
    <row r="11" spans="1:7" s="44" customFormat="1" ht="23.25" customHeight="1">
      <c r="A11" s="689">
        <v>0</v>
      </c>
      <c r="B11" s="124">
        <v>0</v>
      </c>
      <c r="C11" s="45" t="s">
        <v>444</v>
      </c>
      <c r="D11" s="38"/>
      <c r="E11" s="689">
        <f>'40-41.各項費用彙計表(7級) '!H10</f>
        <v>0</v>
      </c>
      <c r="F11" s="23"/>
      <c r="G11" s="123" t="e">
        <f t="shared" si="0"/>
        <v>#DIV/0!</v>
      </c>
    </row>
    <row r="12" spans="1:7" s="44" customFormat="1" ht="23.25" customHeight="1">
      <c r="A12" s="689">
        <v>0</v>
      </c>
      <c r="B12" s="124">
        <v>0</v>
      </c>
      <c r="C12" s="45" t="s">
        <v>445</v>
      </c>
      <c r="D12" s="38"/>
      <c r="E12" s="689">
        <f>'40-41.各項費用彙計表(7級) '!H11</f>
        <v>0</v>
      </c>
      <c r="F12" s="23"/>
      <c r="G12" s="123" t="e">
        <f t="shared" si="0"/>
        <v>#DIV/0!</v>
      </c>
    </row>
    <row r="13" spans="1:7" s="44" customFormat="1" ht="23.25" customHeight="1">
      <c r="A13" s="689">
        <v>0</v>
      </c>
      <c r="B13" s="124">
        <v>0</v>
      </c>
      <c r="C13" s="48" t="s">
        <v>446</v>
      </c>
      <c r="D13" s="38"/>
      <c r="E13" s="689">
        <v>0</v>
      </c>
      <c r="F13" s="23"/>
      <c r="G13" s="123" t="e">
        <f t="shared" si="0"/>
        <v>#DIV/0!</v>
      </c>
    </row>
    <row r="14" spans="1:7" s="44" customFormat="1" ht="23.25" customHeight="1">
      <c r="A14" s="704">
        <f>SUM(A15:A16)</f>
        <v>100</v>
      </c>
      <c r="B14" s="23">
        <f>SUM(B15:B16)</f>
        <v>0</v>
      </c>
      <c r="C14" s="66" t="s">
        <v>447</v>
      </c>
      <c r="D14" s="39"/>
      <c r="E14" s="704">
        <f>SUM(E15:E17)</f>
        <v>0</v>
      </c>
      <c r="F14" s="23">
        <f>SUM(F15:F16)</f>
        <v>0</v>
      </c>
      <c r="G14" s="123" t="e">
        <f t="shared" si="0"/>
        <v>#DIV/0!</v>
      </c>
    </row>
    <row r="15" spans="1:7" s="44" customFormat="1" ht="23.25" customHeight="1">
      <c r="A15" s="689">
        <v>100</v>
      </c>
      <c r="B15" s="124">
        <v>0</v>
      </c>
      <c r="C15" s="40" t="s">
        <v>448</v>
      </c>
      <c r="D15" s="39"/>
      <c r="E15" s="689">
        <f>'40-41.各項費用彙計表(7級) '!H14</f>
        <v>0</v>
      </c>
      <c r="G15" s="123" t="e">
        <f t="shared" si="0"/>
        <v>#DIV/0!</v>
      </c>
    </row>
    <row r="16" spans="1:7" s="44" customFormat="1" ht="23.25" customHeight="1">
      <c r="A16" s="689">
        <v>0</v>
      </c>
      <c r="B16" s="124">
        <v>0</v>
      </c>
      <c r="C16" s="40" t="s">
        <v>449</v>
      </c>
      <c r="D16" s="39"/>
      <c r="E16" s="689">
        <v>0</v>
      </c>
      <c r="G16" s="123" t="e">
        <f t="shared" si="0"/>
        <v>#DIV/0!</v>
      </c>
    </row>
    <row r="17" spans="1:7" s="44" customFormat="1" ht="23.25" customHeight="1">
      <c r="A17" s="689"/>
      <c r="B17" s="124"/>
      <c r="C17" s="40" t="s">
        <v>837</v>
      </c>
      <c r="D17" s="39"/>
      <c r="E17" s="689">
        <v>0</v>
      </c>
      <c r="G17" s="123"/>
    </row>
    <row r="18" spans="1:7" s="44" customFormat="1" ht="23.25" customHeight="1">
      <c r="A18" s="704">
        <f>SUM(A19:A20)</f>
        <v>0</v>
      </c>
      <c r="B18" s="23">
        <f>SUM(B19:B20)</f>
        <v>0</v>
      </c>
      <c r="C18" s="66" t="s">
        <v>450</v>
      </c>
      <c r="D18" s="39"/>
      <c r="E18" s="704">
        <f>SUM(E19:E20)</f>
        <v>0</v>
      </c>
      <c r="F18" s="23">
        <f>SUM(F19:F20)</f>
        <v>0</v>
      </c>
      <c r="G18" s="123" t="e">
        <f t="shared" si="0"/>
        <v>#DIV/0!</v>
      </c>
    </row>
    <row r="19" spans="1:7" s="44" customFormat="1" ht="23.25" customHeight="1">
      <c r="A19" s="689">
        <v>0</v>
      </c>
      <c r="B19" s="124">
        <v>0</v>
      </c>
      <c r="C19" s="40" t="s">
        <v>451</v>
      </c>
      <c r="D19" s="39"/>
      <c r="E19" s="689">
        <v>0</v>
      </c>
      <c r="G19" s="123" t="e">
        <f t="shared" si="0"/>
        <v>#DIV/0!</v>
      </c>
    </row>
    <row r="20" spans="1:7" s="44" customFormat="1" ht="23.25" customHeight="1">
      <c r="A20" s="689"/>
      <c r="B20" s="124"/>
      <c r="C20" s="85" t="s">
        <v>452</v>
      </c>
      <c r="D20" s="39"/>
      <c r="E20" s="689">
        <v>0</v>
      </c>
      <c r="G20" s="123" t="e">
        <f t="shared" si="0"/>
        <v>#DIV/0!</v>
      </c>
    </row>
    <row r="21" spans="1:7" s="44" customFormat="1" ht="23.25" customHeight="1">
      <c r="A21" s="704">
        <f>A22</f>
        <v>8</v>
      </c>
      <c r="B21" s="23">
        <f>SUM(B22:B22)</f>
        <v>0</v>
      </c>
      <c r="C21" s="66" t="s">
        <v>453</v>
      </c>
      <c r="D21" s="39"/>
      <c r="E21" s="704">
        <f>SUM(E22:E22)</f>
        <v>0</v>
      </c>
      <c r="F21" s="23">
        <f>SUM(F22:F22)</f>
        <v>0</v>
      </c>
      <c r="G21" s="123" t="e">
        <f t="shared" si="0"/>
        <v>#DIV/0!</v>
      </c>
    </row>
    <row r="22" spans="1:7" s="44" customFormat="1" ht="23.25" customHeight="1">
      <c r="A22" s="689">
        <v>8</v>
      </c>
      <c r="B22" s="124"/>
      <c r="C22" s="40" t="s">
        <v>454</v>
      </c>
      <c r="D22" s="39"/>
      <c r="E22" s="689">
        <f>'40-41.各項費用彙計表(7級) '!H22</f>
        <v>0</v>
      </c>
      <c r="G22" s="123" t="e">
        <f t="shared" si="0"/>
        <v>#DIV/0!</v>
      </c>
    </row>
    <row r="23" spans="1:7" s="44" customFormat="1" ht="23.25" customHeight="1">
      <c r="A23" s="704"/>
      <c r="B23" s="23">
        <f>SUM(B24:B26)</f>
        <v>0</v>
      </c>
      <c r="C23" s="60" t="s">
        <v>435</v>
      </c>
      <c r="D23" s="39"/>
      <c r="E23" s="704">
        <f>SUM(E24:E26)</f>
        <v>0</v>
      </c>
      <c r="G23" s="123" t="e">
        <f t="shared" si="0"/>
        <v>#DIV/0!</v>
      </c>
    </row>
    <row r="24" spans="1:7" s="44" customFormat="1" ht="23.25" customHeight="1">
      <c r="A24" s="689">
        <v>0</v>
      </c>
      <c r="B24" s="124">
        <v>0</v>
      </c>
      <c r="C24" s="48" t="s">
        <v>455</v>
      </c>
      <c r="D24" s="39"/>
      <c r="E24" s="689">
        <f>'40-41.各項費用彙計表(7級) '!H27</f>
        <v>0</v>
      </c>
      <c r="G24" s="123" t="e">
        <f t="shared" si="0"/>
        <v>#DIV/0!</v>
      </c>
    </row>
    <row r="25" spans="1:7" s="44" customFormat="1" ht="23.25" customHeight="1">
      <c r="A25" s="689">
        <v>0</v>
      </c>
      <c r="B25" s="124">
        <v>0</v>
      </c>
      <c r="C25" s="48" t="s">
        <v>456</v>
      </c>
      <c r="D25" s="39"/>
      <c r="E25" s="689">
        <v>0</v>
      </c>
      <c r="G25" s="123" t="e">
        <f t="shared" si="0"/>
        <v>#DIV/0!</v>
      </c>
    </row>
    <row r="26" spans="1:7" s="44" customFormat="1" ht="23.25" customHeight="1">
      <c r="A26" s="689"/>
      <c r="B26" s="124">
        <v>0</v>
      </c>
      <c r="C26" s="48" t="s">
        <v>461</v>
      </c>
      <c r="D26" s="39"/>
      <c r="E26" s="689">
        <v>0</v>
      </c>
      <c r="G26" s="123" t="e">
        <f>E26/B26</f>
        <v>#DIV/0!</v>
      </c>
    </row>
    <row r="27" spans="1:7" s="44" customFormat="1" ht="23.25" customHeight="1">
      <c r="A27" s="704">
        <f>SUM(A28:A29)</f>
        <v>0</v>
      </c>
      <c r="B27" s="23">
        <f>SUM(B28:B29)</f>
        <v>0</v>
      </c>
      <c r="C27" s="60" t="s">
        <v>457</v>
      </c>
      <c r="D27" s="39"/>
      <c r="E27" s="704">
        <f>SUM(E28:E29)</f>
        <v>0</v>
      </c>
      <c r="G27" s="123" t="e">
        <f t="shared" si="0"/>
        <v>#DIV/0!</v>
      </c>
    </row>
    <row r="28" spans="1:7" s="44" customFormat="1" ht="23.25" hidden="1" customHeight="1">
      <c r="A28" s="689">
        <v>0</v>
      </c>
      <c r="B28" s="124">
        <v>0</v>
      </c>
      <c r="C28" s="48" t="s">
        <v>458</v>
      </c>
      <c r="D28" s="39"/>
      <c r="E28" s="689">
        <v>0</v>
      </c>
      <c r="G28" s="123" t="e">
        <f t="shared" si="0"/>
        <v>#DIV/0!</v>
      </c>
    </row>
    <row r="29" spans="1:7" s="44" customFormat="1" ht="23.25" hidden="1" customHeight="1">
      <c r="A29" s="689">
        <v>0</v>
      </c>
      <c r="B29" s="124">
        <v>0</v>
      </c>
      <c r="C29" s="48" t="s">
        <v>459</v>
      </c>
      <c r="D29" s="39"/>
      <c r="E29" s="689">
        <v>0</v>
      </c>
      <c r="G29" s="123" t="e">
        <f t="shared" si="0"/>
        <v>#DIV/0!</v>
      </c>
    </row>
    <row r="30" spans="1:7" s="44" customFormat="1" ht="23.25" customHeight="1">
      <c r="A30" s="704">
        <f>SUM(A31:A33)</f>
        <v>59</v>
      </c>
      <c r="B30" s="23">
        <f>SUM(B31:B33)</f>
        <v>0</v>
      </c>
      <c r="C30" s="1134" t="s">
        <v>0</v>
      </c>
      <c r="D30" s="1135"/>
      <c r="E30" s="704">
        <f>SUM(E31:E33)</f>
        <v>0</v>
      </c>
      <c r="F30" s="23">
        <f>SUM(F31:F32)</f>
        <v>0</v>
      </c>
      <c r="G30" s="123" t="e">
        <f t="shared" si="0"/>
        <v>#DIV/0!</v>
      </c>
    </row>
    <row r="31" spans="1:7" s="44" customFormat="1" ht="23.25" customHeight="1">
      <c r="A31" s="689">
        <v>59</v>
      </c>
      <c r="B31" s="124">
        <v>0</v>
      </c>
      <c r="C31" s="1155" t="s">
        <v>1</v>
      </c>
      <c r="D31" s="1156"/>
      <c r="E31" s="689">
        <f>'40-41.各項費用彙計表(7級) '!H34</f>
        <v>0</v>
      </c>
      <c r="G31" s="123" t="e">
        <f t="shared" si="0"/>
        <v>#DIV/0!</v>
      </c>
    </row>
    <row r="32" spans="1:7" s="44" customFormat="1" ht="23.25" customHeight="1">
      <c r="A32" s="689">
        <v>0</v>
      </c>
      <c r="B32" s="124">
        <v>0</v>
      </c>
      <c r="C32" s="58" t="s">
        <v>2</v>
      </c>
      <c r="D32" s="361"/>
      <c r="E32" s="689">
        <v>0</v>
      </c>
      <c r="G32" s="123" t="e">
        <f t="shared" si="0"/>
        <v>#DIV/0!</v>
      </c>
    </row>
    <row r="33" spans="1:7" s="44" customFormat="1" ht="23.25" customHeight="1">
      <c r="A33" s="689">
        <v>0</v>
      </c>
      <c r="B33" s="124">
        <v>0</v>
      </c>
      <c r="C33" s="46" t="s">
        <v>3</v>
      </c>
      <c r="D33" s="362"/>
      <c r="E33" s="689">
        <v>0</v>
      </c>
      <c r="G33" s="123" t="e">
        <f t="shared" ref="G33:G44" si="1">E33/B33</f>
        <v>#DIV/0!</v>
      </c>
    </row>
    <row r="34" spans="1:7" s="44" customFormat="1" ht="23.25" customHeight="1">
      <c r="A34" s="704">
        <f>SUM(A35:A35)</f>
        <v>0</v>
      </c>
      <c r="B34" s="23">
        <f>SUM(B35:B35)</f>
        <v>0</v>
      </c>
      <c r="C34" s="60" t="s">
        <v>4</v>
      </c>
      <c r="D34" s="39"/>
      <c r="E34" s="704">
        <f>SUM(E35:E35)</f>
        <v>0</v>
      </c>
      <c r="F34" s="23" t="e">
        <f>SUM(#REF!)</f>
        <v>#REF!</v>
      </c>
      <c r="G34" s="123" t="e">
        <f t="shared" si="1"/>
        <v>#DIV/0!</v>
      </c>
    </row>
    <row r="35" spans="1:7" s="44" customFormat="1" ht="23.25" hidden="1" customHeight="1">
      <c r="A35" s="689">
        <v>0</v>
      </c>
      <c r="B35" s="124">
        <v>0</v>
      </c>
      <c r="C35" s="61" t="s">
        <v>5</v>
      </c>
      <c r="D35" s="39"/>
      <c r="E35" s="689">
        <v>0</v>
      </c>
      <c r="F35" s="38"/>
      <c r="G35" s="123" t="e">
        <f t="shared" si="1"/>
        <v>#DIV/0!</v>
      </c>
    </row>
    <row r="36" spans="1:7" s="47" customFormat="1" ht="23.25" customHeight="1" thickBot="1">
      <c r="A36" s="717">
        <f>SUM(A37,A40)</f>
        <v>10</v>
      </c>
      <c r="B36" s="370">
        <f>SUM(B37,B40)</f>
        <v>0</v>
      </c>
      <c r="C36" s="1153" t="s">
        <v>6</v>
      </c>
      <c r="D36" s="1154"/>
      <c r="E36" s="717">
        <f>SUM(E37,E40)</f>
        <v>0</v>
      </c>
      <c r="F36" s="23">
        <f>F40</f>
        <v>0</v>
      </c>
      <c r="G36" s="123" t="e">
        <f t="shared" si="1"/>
        <v>#DIV/0!</v>
      </c>
    </row>
    <row r="37" spans="1:7" s="47" customFormat="1" ht="23.25" customHeight="1">
      <c r="A37" s="704">
        <f>SUM(A38:A39)</f>
        <v>0</v>
      </c>
      <c r="B37" s="23">
        <f>SUM(B38:B39)</f>
        <v>0</v>
      </c>
      <c r="C37" s="88" t="s">
        <v>7</v>
      </c>
      <c r="D37" s="59"/>
      <c r="E37" s="704">
        <f>SUM(E38:E39)</f>
        <v>0</v>
      </c>
      <c r="F37" s="23"/>
      <c r="G37" s="123" t="e">
        <f t="shared" si="1"/>
        <v>#DIV/0!</v>
      </c>
    </row>
    <row r="38" spans="1:7" s="47" customFormat="1" ht="23.25" hidden="1" customHeight="1">
      <c r="A38" s="689">
        <v>0</v>
      </c>
      <c r="B38" s="124">
        <v>0</v>
      </c>
      <c r="C38" s="22" t="s">
        <v>8</v>
      </c>
      <c r="D38" s="59"/>
      <c r="E38" s="689">
        <v>0</v>
      </c>
      <c r="F38" s="23"/>
      <c r="G38" s="123" t="e">
        <f t="shared" si="1"/>
        <v>#DIV/0!</v>
      </c>
    </row>
    <row r="39" spans="1:7" s="47" customFormat="1" ht="23.25" hidden="1" customHeight="1">
      <c r="A39" s="689">
        <v>0</v>
      </c>
      <c r="B39" s="124">
        <v>0</v>
      </c>
      <c r="C39" s="22" t="s">
        <v>9</v>
      </c>
      <c r="D39" s="59"/>
      <c r="E39" s="689">
        <v>0</v>
      </c>
      <c r="F39" s="23"/>
      <c r="G39" s="123" t="e">
        <f t="shared" si="1"/>
        <v>#DIV/0!</v>
      </c>
    </row>
    <row r="40" spans="1:7" s="47" customFormat="1" ht="23.25" customHeight="1">
      <c r="A40" s="704">
        <f>SUM(A41:A45)</f>
        <v>10</v>
      </c>
      <c r="B40" s="23">
        <f>SUM(B41:B45)</f>
        <v>0</v>
      </c>
      <c r="C40" s="1134" t="s">
        <v>10</v>
      </c>
      <c r="D40" s="1135"/>
      <c r="E40" s="704">
        <f>SUM(E41:E45)</f>
        <v>0</v>
      </c>
      <c r="F40" s="23">
        <f>F43</f>
        <v>0</v>
      </c>
      <c r="G40" s="123" t="e">
        <f t="shared" si="1"/>
        <v>#DIV/0!</v>
      </c>
    </row>
    <row r="41" spans="1:7" s="47" customFormat="1" ht="23.25" customHeight="1">
      <c r="A41" s="689">
        <v>10</v>
      </c>
      <c r="B41" s="124">
        <v>0</v>
      </c>
      <c r="C41" s="22" t="s">
        <v>592</v>
      </c>
      <c r="D41" s="57"/>
      <c r="E41" s="689">
        <f>'40-41.各項費用彙計表(7級) '!H55</f>
        <v>0</v>
      </c>
      <c r="F41" s="38"/>
      <c r="G41" s="123" t="e">
        <f t="shared" si="1"/>
        <v>#DIV/0!</v>
      </c>
    </row>
    <row r="42" spans="1:7" s="47" customFormat="1" ht="23.25" hidden="1" customHeight="1">
      <c r="A42" s="689">
        <v>0</v>
      </c>
      <c r="B42" s="124">
        <v>0</v>
      </c>
      <c r="C42" s="22" t="s">
        <v>593</v>
      </c>
      <c r="D42" s="57"/>
      <c r="E42" s="689">
        <v>0</v>
      </c>
      <c r="F42" s="38"/>
      <c r="G42" s="123" t="e">
        <f t="shared" si="1"/>
        <v>#DIV/0!</v>
      </c>
    </row>
    <row r="43" spans="1:7" s="47" customFormat="1" ht="23.25" hidden="1" customHeight="1">
      <c r="A43" s="689">
        <v>0</v>
      </c>
      <c r="B43" s="124">
        <v>0</v>
      </c>
      <c r="C43" s="40" t="s">
        <v>11</v>
      </c>
      <c r="D43" s="39"/>
      <c r="E43" s="689">
        <v>0</v>
      </c>
      <c r="G43" s="123" t="e">
        <f t="shared" si="1"/>
        <v>#DIV/0!</v>
      </c>
    </row>
    <row r="44" spans="1:7" s="47" customFormat="1" ht="23.25" hidden="1" customHeight="1">
      <c r="A44" s="689">
        <v>0</v>
      </c>
      <c r="B44" s="124">
        <v>0</v>
      </c>
      <c r="C44" s="40" t="s">
        <v>594</v>
      </c>
      <c r="D44" s="39"/>
      <c r="E44" s="689">
        <v>0</v>
      </c>
      <c r="G44" s="123" t="e">
        <f t="shared" si="1"/>
        <v>#DIV/0!</v>
      </c>
    </row>
    <row r="45" spans="1:7" s="47" customFormat="1" ht="23.25" hidden="1" customHeight="1">
      <c r="A45" s="689">
        <v>0</v>
      </c>
      <c r="B45" s="124">
        <v>0</v>
      </c>
      <c r="C45" s="48" t="s">
        <v>12</v>
      </c>
      <c r="D45" s="39"/>
      <c r="E45" s="689">
        <v>0</v>
      </c>
      <c r="G45" s="123" t="e">
        <f t="shared" ref="G45:G55" si="2">E45/B45</f>
        <v>#DIV/0!</v>
      </c>
    </row>
    <row r="46" spans="1:7" s="47" customFormat="1" ht="23.25" customHeight="1">
      <c r="A46" s="704">
        <f>SUM(A47,A49,A51)</f>
        <v>0</v>
      </c>
      <c r="B46" s="23">
        <f>SUM(B47,B49,B51)</f>
        <v>0</v>
      </c>
      <c r="C46" s="1124" t="s">
        <v>13</v>
      </c>
      <c r="D46" s="1125"/>
      <c r="E46" s="704">
        <f>SUM(E47,E49,E51)</f>
        <v>0</v>
      </c>
      <c r="F46" s="23" t="e">
        <f>#REF!+F49+#REF!</f>
        <v>#REF!</v>
      </c>
      <c r="G46" s="123" t="e">
        <f t="shared" si="2"/>
        <v>#DIV/0!</v>
      </c>
    </row>
    <row r="47" spans="1:7" s="47" customFormat="1" ht="23.25" customHeight="1">
      <c r="A47" s="704">
        <f>SUM(A48)</f>
        <v>0</v>
      </c>
      <c r="B47" s="23">
        <f>SUM(B48)</f>
        <v>0</v>
      </c>
      <c r="C47" s="60" t="s">
        <v>24</v>
      </c>
      <c r="D47" s="170"/>
      <c r="E47" s="704">
        <f>SUM(E48)</f>
        <v>0</v>
      </c>
      <c r="F47" s="23"/>
      <c r="G47" s="123" t="e">
        <f t="shared" si="2"/>
        <v>#DIV/0!</v>
      </c>
    </row>
    <row r="48" spans="1:7" s="47" customFormat="1" ht="23.25" hidden="1" customHeight="1">
      <c r="A48" s="689">
        <v>0</v>
      </c>
      <c r="B48" s="124">
        <v>0</v>
      </c>
      <c r="C48" s="48" t="s">
        <v>14</v>
      </c>
      <c r="D48" s="170"/>
      <c r="E48" s="689">
        <v>0</v>
      </c>
      <c r="F48" s="23"/>
      <c r="G48" s="123" t="e">
        <f t="shared" si="2"/>
        <v>#DIV/0!</v>
      </c>
    </row>
    <row r="49" spans="1:7" s="47" customFormat="1" ht="23.25" customHeight="1">
      <c r="A49" s="718">
        <f>A50</f>
        <v>0</v>
      </c>
      <c r="B49" s="23">
        <f>B50</f>
        <v>0</v>
      </c>
      <c r="C49" s="60" t="s">
        <v>288</v>
      </c>
      <c r="D49" s="170"/>
      <c r="E49" s="704">
        <f>E50</f>
        <v>0</v>
      </c>
      <c r="F49" s="23">
        <f>F50</f>
        <v>0</v>
      </c>
      <c r="G49" s="123" t="e">
        <f t="shared" si="2"/>
        <v>#DIV/0!</v>
      </c>
    </row>
    <row r="50" spans="1:7" s="47" customFormat="1" ht="23.25" hidden="1" customHeight="1">
      <c r="A50" s="689">
        <v>0</v>
      </c>
      <c r="B50" s="124">
        <v>0</v>
      </c>
      <c r="C50" s="48" t="s">
        <v>15</v>
      </c>
      <c r="D50" s="170"/>
      <c r="E50" s="689">
        <v>0</v>
      </c>
      <c r="G50" s="123" t="e">
        <f t="shared" si="2"/>
        <v>#DIV/0!</v>
      </c>
    </row>
    <row r="51" spans="1:7" s="47" customFormat="1" ht="23.25" customHeight="1">
      <c r="A51" s="704">
        <f>A52</f>
        <v>0</v>
      </c>
      <c r="B51" s="23">
        <f>B52</f>
        <v>0</v>
      </c>
      <c r="C51" s="60" t="s">
        <v>16</v>
      </c>
      <c r="D51" s="170"/>
      <c r="E51" s="704">
        <f>E52</f>
        <v>0</v>
      </c>
      <c r="F51" s="23">
        <f>F52</f>
        <v>0</v>
      </c>
      <c r="G51" s="123" t="e">
        <f t="shared" si="2"/>
        <v>#DIV/0!</v>
      </c>
    </row>
    <row r="52" spans="1:7" s="47" customFormat="1" ht="23.25" hidden="1" customHeight="1">
      <c r="A52" s="689">
        <v>0</v>
      </c>
      <c r="B52" s="124">
        <v>0</v>
      </c>
      <c r="C52" s="48" t="s">
        <v>17</v>
      </c>
      <c r="D52" s="170"/>
      <c r="E52" s="689">
        <v>0</v>
      </c>
      <c r="G52" s="123" t="e">
        <f t="shared" si="2"/>
        <v>#DIV/0!</v>
      </c>
    </row>
    <row r="53" spans="1:7" s="47" customFormat="1" ht="23.25" customHeight="1">
      <c r="A53" s="704">
        <f>SUM(A54)</f>
        <v>0</v>
      </c>
      <c r="B53" s="23">
        <f>SUM(B54)</f>
        <v>0</v>
      </c>
      <c r="C53" s="50" t="s">
        <v>836</v>
      </c>
      <c r="D53" s="39"/>
      <c r="E53" s="704">
        <f>SUM(E54)</f>
        <v>0</v>
      </c>
      <c r="F53" s="23" t="e">
        <f>SUM(#REF!,#REF!,F54)</f>
        <v>#REF!</v>
      </c>
      <c r="G53" s="123" t="e">
        <f t="shared" si="2"/>
        <v>#DIV/0!</v>
      </c>
    </row>
    <row r="54" spans="1:7" s="47" customFormat="1" ht="23.25" customHeight="1">
      <c r="A54" s="706">
        <f>A55</f>
        <v>0</v>
      </c>
      <c r="B54" s="83">
        <f>B55</f>
        <v>0</v>
      </c>
      <c r="C54" s="60" t="s">
        <v>21</v>
      </c>
      <c r="D54" s="39"/>
      <c r="E54" s="706">
        <f>E55</f>
        <v>0</v>
      </c>
      <c r="F54" s="23">
        <f>F55</f>
        <v>0</v>
      </c>
      <c r="G54" s="123" t="e">
        <f t="shared" si="2"/>
        <v>#DIV/0!</v>
      </c>
    </row>
    <row r="55" spans="1:7" s="47" customFormat="1" ht="23.25" hidden="1" customHeight="1">
      <c r="A55" s="689">
        <v>0</v>
      </c>
      <c r="B55" s="124">
        <v>0</v>
      </c>
      <c r="C55" s="48" t="s">
        <v>22</v>
      </c>
      <c r="D55" s="39"/>
      <c r="E55" s="689">
        <v>0</v>
      </c>
      <c r="G55" s="123" t="e">
        <f t="shared" si="2"/>
        <v>#DIV/0!</v>
      </c>
    </row>
    <row r="56" spans="1:7" s="47" customFormat="1" ht="23.25" customHeight="1">
      <c r="A56" s="689"/>
      <c r="B56" s="124"/>
      <c r="C56" s="48"/>
      <c r="D56" s="39"/>
      <c r="E56" s="689"/>
      <c r="G56" s="123"/>
    </row>
    <row r="57" spans="1:7" s="47" customFormat="1" ht="23.25" customHeight="1">
      <c r="A57" s="689"/>
      <c r="B57" s="124"/>
      <c r="C57" s="48"/>
      <c r="D57" s="39"/>
      <c r="E57" s="689"/>
      <c r="G57" s="123"/>
    </row>
    <row r="58" spans="1:7" s="47" customFormat="1" ht="23.25" customHeight="1">
      <c r="A58" s="689"/>
      <c r="B58" s="124"/>
      <c r="C58" s="48"/>
      <c r="D58" s="39"/>
      <c r="E58" s="689"/>
      <c r="G58" s="123"/>
    </row>
    <row r="59" spans="1:7" s="47" customFormat="1" ht="23.25" customHeight="1">
      <c r="A59" s="689"/>
      <c r="B59" s="124"/>
      <c r="C59" s="48"/>
      <c r="D59" s="39"/>
      <c r="E59" s="689"/>
      <c r="G59" s="123"/>
    </row>
    <row r="60" spans="1:7" s="47" customFormat="1" ht="23.25" customHeight="1">
      <c r="A60" s="689"/>
      <c r="B60" s="124"/>
      <c r="C60" s="48"/>
      <c r="D60" s="39"/>
      <c r="E60" s="689"/>
      <c r="G60" s="123"/>
    </row>
    <row r="61" spans="1:7" s="47" customFormat="1" ht="23.25" customHeight="1">
      <c r="A61" s="689"/>
      <c r="B61" s="124"/>
      <c r="C61" s="48"/>
      <c r="D61" s="39"/>
      <c r="E61" s="689"/>
      <c r="G61" s="123"/>
    </row>
    <row r="62" spans="1:7" s="47" customFormat="1" ht="23.25" customHeight="1">
      <c r="A62" s="689"/>
      <c r="B62" s="124"/>
      <c r="C62" s="48"/>
      <c r="D62" s="39"/>
      <c r="E62" s="689"/>
      <c r="G62" s="123"/>
    </row>
    <row r="63" spans="1:7" s="47" customFormat="1" ht="23.25" customHeight="1">
      <c r="A63" s="689"/>
      <c r="B63" s="124"/>
      <c r="C63" s="48"/>
      <c r="D63" s="39"/>
      <c r="E63" s="689"/>
      <c r="G63" s="123"/>
    </row>
    <row r="64" spans="1:7" s="47" customFormat="1" ht="23.25" customHeight="1">
      <c r="A64" s="689"/>
      <c r="B64" s="124"/>
      <c r="C64" s="48"/>
      <c r="D64" s="39"/>
      <c r="E64" s="689"/>
      <c r="G64" s="123"/>
    </row>
    <row r="65" spans="1:7" s="47" customFormat="1" ht="23.25" customHeight="1">
      <c r="A65" s="689"/>
      <c r="B65" s="124"/>
      <c r="C65" s="48"/>
      <c r="D65" s="39"/>
      <c r="E65" s="689"/>
      <c r="G65" s="123"/>
    </row>
    <row r="66" spans="1:7" s="47" customFormat="1" ht="23.25" customHeight="1">
      <c r="A66" s="689"/>
      <c r="B66" s="124"/>
      <c r="C66" s="48"/>
      <c r="D66" s="39"/>
      <c r="E66" s="689"/>
      <c r="G66" s="123"/>
    </row>
    <row r="67" spans="1:7" s="47" customFormat="1" ht="23.25" customHeight="1">
      <c r="A67" s="689"/>
      <c r="B67" s="124"/>
      <c r="C67" s="48"/>
      <c r="D67" s="39"/>
      <c r="E67" s="689"/>
      <c r="G67" s="123"/>
    </row>
    <row r="68" spans="1:7" s="47" customFormat="1" ht="23.25" customHeight="1">
      <c r="A68" s="689"/>
      <c r="B68" s="124"/>
      <c r="C68" s="48"/>
      <c r="D68" s="39"/>
      <c r="E68" s="689"/>
      <c r="G68" s="123"/>
    </row>
    <row r="69" spans="1:7" s="47" customFormat="1" ht="23.25" customHeight="1">
      <c r="A69" s="689"/>
      <c r="B69" s="124"/>
      <c r="C69" s="48"/>
      <c r="D69" s="39"/>
      <c r="E69" s="689"/>
      <c r="G69" s="123"/>
    </row>
    <row r="70" spans="1:7" s="47" customFormat="1" ht="23.25" customHeight="1">
      <c r="A70" s="689"/>
      <c r="B70" s="124"/>
      <c r="C70" s="48"/>
      <c r="D70" s="39"/>
      <c r="E70" s="689"/>
      <c r="G70" s="123"/>
    </row>
    <row r="71" spans="1:7" s="47" customFormat="1" ht="23.25" customHeight="1">
      <c r="A71" s="689"/>
      <c r="B71" s="124"/>
      <c r="C71" s="48"/>
      <c r="D71" s="39"/>
      <c r="E71" s="689"/>
      <c r="G71" s="123"/>
    </row>
    <row r="72" spans="1:7" s="47" customFormat="1" ht="23.25" customHeight="1">
      <c r="A72" s="689"/>
      <c r="B72" s="124"/>
      <c r="C72" s="48"/>
      <c r="D72" s="39"/>
      <c r="E72" s="689"/>
      <c r="G72" s="123"/>
    </row>
    <row r="73" spans="1:7" s="47" customFormat="1" ht="23.25" customHeight="1">
      <c r="A73" s="689"/>
      <c r="B73" s="124"/>
      <c r="C73" s="48"/>
      <c r="D73" s="39"/>
      <c r="E73" s="689"/>
      <c r="G73" s="123"/>
    </row>
    <row r="74" spans="1:7" ht="23.25" customHeight="1">
      <c r="A74" s="704"/>
      <c r="B74" s="23"/>
      <c r="C74" s="61"/>
      <c r="D74" s="62"/>
      <c r="E74" s="704"/>
    </row>
    <row r="75" spans="1:7" ht="23.25" customHeight="1" thickBot="1">
      <c r="A75" s="708">
        <f>A8</f>
        <v>178</v>
      </c>
      <c r="B75" s="363">
        <f>B8</f>
        <v>0</v>
      </c>
      <c r="C75" s="1118" t="s">
        <v>18</v>
      </c>
      <c r="D75" s="1119"/>
      <c r="E75" s="708">
        <f>E8</f>
        <v>0</v>
      </c>
      <c r="F75" s="63"/>
    </row>
    <row r="76" spans="1:7">
      <c r="A76" s="64"/>
      <c r="B76" s="64"/>
      <c r="C76" s="86"/>
      <c r="D76" s="64"/>
      <c r="E76" s="125"/>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pageMargins left="0.6692913385826772" right="0.6692913385826772" top="0.59055118110236227" bottom="0.78740157480314965" header="0.51181102362204722" footer="0.51181102362204722"/>
  <pageSetup paperSize="9" scale="97" firstPageNumber="26" orientation="portrait" useFirstPageNumber="1" r:id="rId1"/>
  <headerFooter alignWithMargins="0">
    <oddFooter>&amp;C&amp;"Arial Unicode MS,標準"&amp;P</oddFooter>
  </headerFooter>
</worksheet>
</file>

<file path=xl/worksheets/sheet22.xml><?xml version="1.0" encoding="utf-8"?>
<worksheet xmlns="http://schemas.openxmlformats.org/spreadsheetml/2006/main" xmlns:r="http://schemas.openxmlformats.org/officeDocument/2006/relationships">
  <sheetPr codeName="Sheet21">
    <tabColor rgb="FFFFFFCC"/>
  </sheetPr>
  <dimension ref="A1:F40"/>
  <sheetViews>
    <sheetView topLeftCell="A4" zoomScale="70" zoomScaleNormal="70" workbookViewId="0">
      <selection activeCell="E5" sqref="E5"/>
    </sheetView>
  </sheetViews>
  <sheetFormatPr defaultColWidth="9" defaultRowHeight="16.5"/>
  <cols>
    <col min="1" max="1" width="16.875" style="30" customWidth="1"/>
    <col min="2" max="2" width="17" style="30" customWidth="1"/>
    <col min="3" max="3" width="7.625" style="30" customWidth="1"/>
    <col min="4" max="4" width="33.125" style="30" customWidth="1"/>
    <col min="5" max="5" width="17.625" style="30" customWidth="1"/>
    <col min="6" max="6" width="8.75" style="30" hidden="1" customWidth="1"/>
    <col min="7" max="16384" width="9" style="30"/>
  </cols>
  <sheetData>
    <row r="1" spans="1:6" ht="25.5">
      <c r="A1" s="1017" t="s">
        <v>144</v>
      </c>
      <c r="B1" s="1017"/>
      <c r="C1" s="1017"/>
      <c r="D1" s="1017"/>
      <c r="E1" s="1017"/>
      <c r="F1" s="32"/>
    </row>
    <row r="2" spans="1:6" ht="21">
      <c r="A2" s="1028" t="s">
        <v>145</v>
      </c>
      <c r="B2" s="1028"/>
      <c r="C2" s="1028"/>
      <c r="D2" s="1028"/>
      <c r="E2" s="1028"/>
      <c r="F2" s="33"/>
    </row>
    <row r="3" spans="1:6" ht="21">
      <c r="A3" s="1027" t="s">
        <v>123</v>
      </c>
      <c r="B3" s="1027"/>
      <c r="C3" s="1027"/>
      <c r="D3" s="1027"/>
      <c r="E3" s="1027"/>
      <c r="F3" s="34"/>
    </row>
    <row r="4" spans="1:6" ht="19.5">
      <c r="A4" s="1145" t="s">
        <v>1077</v>
      </c>
      <c r="B4" s="1145"/>
      <c r="C4" s="1145"/>
      <c r="D4" s="1145"/>
      <c r="E4" s="1145"/>
      <c r="F4" s="35"/>
    </row>
    <row r="5" spans="1:6" ht="17.25" thickBot="1">
      <c r="C5" s="35"/>
      <c r="D5" s="35"/>
      <c r="E5" s="36" t="s">
        <v>1115</v>
      </c>
      <c r="F5" s="37"/>
    </row>
    <row r="6" spans="1:6" s="41" customFormat="1" ht="21" customHeight="1">
      <c r="A6" s="1159" t="s">
        <v>158</v>
      </c>
      <c r="B6" s="1083" t="s">
        <v>151</v>
      </c>
      <c r="C6" s="1083" t="s">
        <v>147</v>
      </c>
      <c r="D6" s="1083"/>
      <c r="E6" s="1161" t="s">
        <v>149</v>
      </c>
      <c r="F6" s="54"/>
    </row>
    <row r="7" spans="1:6" s="41" customFormat="1" ht="21" customHeight="1" thickBot="1">
      <c r="A7" s="1160"/>
      <c r="B7" s="1084"/>
      <c r="C7" s="1084"/>
      <c r="D7" s="1084"/>
      <c r="E7" s="1162"/>
      <c r="F7" s="55"/>
    </row>
    <row r="8" spans="1:6" s="41" customFormat="1" ht="25.15" customHeight="1">
      <c r="A8" s="648">
        <f>A9</f>
        <v>26</v>
      </c>
      <c r="B8" s="649">
        <f>B9</f>
        <v>14</v>
      </c>
      <c r="C8" s="1164" t="s">
        <v>80</v>
      </c>
      <c r="D8" s="1165"/>
      <c r="E8" s="660">
        <f>E9</f>
        <v>50</v>
      </c>
      <c r="F8" s="159"/>
    </row>
    <row r="9" spans="1:6" s="261" customFormat="1" ht="25.15" customHeight="1">
      <c r="A9" s="382">
        <f>A25</f>
        <v>26</v>
      </c>
      <c r="B9" s="257">
        <f>B25</f>
        <v>14</v>
      </c>
      <c r="C9" s="1140" t="s">
        <v>81</v>
      </c>
      <c r="D9" s="1163"/>
      <c r="E9" s="660">
        <f>SUM(E10,E17,E20,E23,E25)</f>
        <v>50</v>
      </c>
      <c r="F9" s="266" t="e">
        <f>F14</f>
        <v>#REF!</v>
      </c>
    </row>
    <row r="10" spans="1:6" s="259" customFormat="1" ht="25.15" hidden="1" customHeight="1">
      <c r="A10" s="653">
        <f>SUM(A11:A14)</f>
        <v>0</v>
      </c>
      <c r="B10" s="654">
        <v>0</v>
      </c>
      <c r="C10" s="396" t="s">
        <v>82</v>
      </c>
      <c r="D10" s="262"/>
      <c r="E10" s="661">
        <f>SUM(E11:E14)</f>
        <v>0</v>
      </c>
      <c r="F10" s="266"/>
    </row>
    <row r="11" spans="1:6" s="259" customFormat="1" ht="25.15" hidden="1" customHeight="1">
      <c r="A11" s="655">
        <f>'24.其他業務外費用明細7級(X) '!A10</f>
        <v>0</v>
      </c>
      <c r="B11" s="263">
        <v>0</v>
      </c>
      <c r="C11" s="365" t="s">
        <v>83</v>
      </c>
      <c r="D11" s="260"/>
      <c r="E11" s="661">
        <f>'24.其他業務外費用明細7級(X) '!E10</f>
        <v>0</v>
      </c>
      <c r="F11" s="266"/>
    </row>
    <row r="12" spans="1:6" s="259" customFormat="1" ht="25.15" hidden="1" customHeight="1">
      <c r="A12" s="655">
        <f>'24.其他業務外費用明細7級(X) '!A13</f>
        <v>0</v>
      </c>
      <c r="B12" s="263">
        <v>0</v>
      </c>
      <c r="C12" s="365" t="s">
        <v>595</v>
      </c>
      <c r="D12" s="260"/>
      <c r="E12" s="661">
        <f>'24.其他業務外費用明細7級(X) '!E13</f>
        <v>0</v>
      </c>
      <c r="F12" s="266"/>
    </row>
    <row r="13" spans="1:6" s="259" customFormat="1" ht="25.15" hidden="1" customHeight="1">
      <c r="A13" s="655">
        <f>'24.其他業務外費用明細7級(X) '!A15</f>
        <v>0</v>
      </c>
      <c r="B13" s="263">
        <v>0</v>
      </c>
      <c r="C13" s="365" t="s">
        <v>84</v>
      </c>
      <c r="D13" s="260"/>
      <c r="E13" s="661">
        <f>'24.其他業務外費用明細7級(X) '!E15</f>
        <v>0</v>
      </c>
      <c r="F13" s="266"/>
    </row>
    <row r="14" spans="1:6" s="261" customFormat="1" ht="25.15" hidden="1" customHeight="1">
      <c r="A14" s="656">
        <f>'24.其他業務外費用明細7級(X) '!A20</f>
        <v>0</v>
      </c>
      <c r="B14" s="657">
        <v>0</v>
      </c>
      <c r="C14" s="365" t="s">
        <v>85</v>
      </c>
      <c r="D14" s="153"/>
      <c r="E14" s="662">
        <f>'24.其他業務外費用明細7級(X) '!E20</f>
        <v>0</v>
      </c>
      <c r="F14" s="258" t="e">
        <f>#REF!</f>
        <v>#REF!</v>
      </c>
    </row>
    <row r="15" spans="1:6" s="267" customFormat="1" ht="25.15" hidden="1" customHeight="1">
      <c r="A15" s="658">
        <f>SUM(A16)</f>
        <v>0</v>
      </c>
      <c r="B15" s="171">
        <v>0</v>
      </c>
      <c r="C15" s="396" t="s">
        <v>46</v>
      </c>
      <c r="D15" s="397"/>
      <c r="E15" s="663">
        <f>SUM(E16:F16)</f>
        <v>0</v>
      </c>
    </row>
    <row r="16" spans="1:6" s="267" customFormat="1" ht="25.15" hidden="1" customHeight="1">
      <c r="A16" s="268">
        <f>'24.其他業務外費用明細7級(X) '!A24</f>
        <v>0</v>
      </c>
      <c r="B16" s="171">
        <v>0</v>
      </c>
      <c r="C16" s="365" t="s">
        <v>47</v>
      </c>
      <c r="D16" s="260"/>
      <c r="E16" s="265">
        <f>'24.其他業務外費用明細7級(X) '!E24</f>
        <v>0</v>
      </c>
    </row>
    <row r="17" spans="1:5" s="267" customFormat="1" ht="25.15" hidden="1" customHeight="1">
      <c r="A17" s="658">
        <f>SUM(A18:A19)</f>
        <v>0</v>
      </c>
      <c r="B17" s="659">
        <v>0</v>
      </c>
      <c r="C17" s="396" t="s">
        <v>86</v>
      </c>
      <c r="D17" s="397"/>
      <c r="E17" s="663">
        <f>SUM(E18:E19)</f>
        <v>0</v>
      </c>
    </row>
    <row r="18" spans="1:5" s="267" customFormat="1" ht="25.15" hidden="1" customHeight="1">
      <c r="A18" s="268">
        <f>'24.其他業務外費用明細7級(X) '!A28</f>
        <v>0</v>
      </c>
      <c r="B18" s="171">
        <v>0</v>
      </c>
      <c r="C18" s="365" t="s">
        <v>980</v>
      </c>
      <c r="D18" s="260"/>
      <c r="E18" s="265">
        <f>'24.其他業務外費用明細7級(X) '!E28</f>
        <v>0</v>
      </c>
    </row>
    <row r="19" spans="1:5" s="267" customFormat="1" ht="25.15" hidden="1" customHeight="1">
      <c r="A19" s="268">
        <f>'24.其他業務外費用明細7級(X) '!A30</f>
        <v>0</v>
      </c>
      <c r="B19" s="171">
        <v>0</v>
      </c>
      <c r="C19" s="365" t="s">
        <v>981</v>
      </c>
      <c r="D19" s="260"/>
      <c r="E19" s="265">
        <f>'24.其他業務外費用明細7級(X) '!E30</f>
        <v>0</v>
      </c>
    </row>
    <row r="20" spans="1:5" s="267" customFormat="1" ht="25.15" hidden="1" customHeight="1">
      <c r="A20" s="382">
        <f>SUM(A21:A22)</f>
        <v>0</v>
      </c>
      <c r="B20" s="257">
        <v>0</v>
      </c>
      <c r="C20" s="396" t="s">
        <v>835</v>
      </c>
      <c r="D20" s="262"/>
      <c r="E20" s="265">
        <f>SUM(E21:E22)</f>
        <v>0</v>
      </c>
    </row>
    <row r="21" spans="1:5" s="267" customFormat="1" ht="25.15" hidden="1" customHeight="1">
      <c r="A21" s="268">
        <f>'24.其他業務外費用明細7級(X) '!A33</f>
        <v>0</v>
      </c>
      <c r="B21" s="171">
        <v>0</v>
      </c>
      <c r="C21" s="365" t="s">
        <v>642</v>
      </c>
      <c r="D21" s="260"/>
      <c r="E21" s="265">
        <f>'24.其他業務外費用明細7級(X) '!E34</f>
        <v>0</v>
      </c>
    </row>
    <row r="22" spans="1:5" s="267" customFormat="1" ht="25.15" hidden="1" customHeight="1">
      <c r="A22" s="268">
        <f>'24.其他業務外費用明細7級(X) '!A35</f>
        <v>0</v>
      </c>
      <c r="B22" s="171">
        <v>0</v>
      </c>
      <c r="C22" s="365" t="s">
        <v>87</v>
      </c>
      <c r="D22" s="260"/>
      <c r="E22" s="265">
        <f>'24.其他業務外費用明細7級(X) '!E35</f>
        <v>0</v>
      </c>
    </row>
    <row r="23" spans="1:5" s="267" customFormat="1" ht="25.15" hidden="1" customHeight="1">
      <c r="A23" s="268">
        <f>'24.其他業務外費用明細7級(X) '!A37</f>
        <v>0</v>
      </c>
      <c r="B23" s="171">
        <v>0</v>
      </c>
      <c r="C23" s="50" t="s">
        <v>643</v>
      </c>
      <c r="D23" s="260"/>
      <c r="E23" s="265">
        <f>'24.其他業務外費用明細7級(X) '!E37</f>
        <v>0</v>
      </c>
    </row>
    <row r="24" spans="1:5" s="267" customFormat="1" ht="25.15" hidden="1" customHeight="1">
      <c r="A24" s="268">
        <f>'24.其他業務外費用明細7級(X) '!A38</f>
        <v>0</v>
      </c>
      <c r="B24" s="171">
        <v>0</v>
      </c>
      <c r="C24" s="365" t="s">
        <v>644</v>
      </c>
      <c r="D24" s="270"/>
      <c r="E24" s="265">
        <f>'24.其他業務外費用明細7級(X) '!E37</f>
        <v>0</v>
      </c>
    </row>
    <row r="25" spans="1:5" s="267" customFormat="1" ht="25.15" customHeight="1">
      <c r="A25" s="382">
        <f>A26</f>
        <v>26</v>
      </c>
      <c r="B25" s="257">
        <f>B26</f>
        <v>14</v>
      </c>
      <c r="C25" s="50" t="s">
        <v>109</v>
      </c>
      <c r="D25" s="260"/>
      <c r="E25" s="660">
        <f>E26</f>
        <v>50</v>
      </c>
    </row>
    <row r="26" spans="1:5" s="267" customFormat="1" ht="25.15" customHeight="1">
      <c r="A26" s="268">
        <v>26</v>
      </c>
      <c r="B26" s="171">
        <v>14</v>
      </c>
      <c r="C26" s="365" t="s">
        <v>645</v>
      </c>
      <c r="D26" s="270"/>
      <c r="E26" s="265">
        <v>50</v>
      </c>
    </row>
    <row r="27" spans="1:5" s="267" customFormat="1" ht="25.15" customHeight="1">
      <c r="A27" s="268"/>
      <c r="B27" s="171"/>
      <c r="C27" s="269"/>
      <c r="D27" s="270"/>
      <c r="E27" s="265"/>
    </row>
    <row r="28" spans="1:5" s="267" customFormat="1" ht="25.15" customHeight="1">
      <c r="A28" s="268"/>
      <c r="B28" s="171"/>
      <c r="C28" s="269"/>
      <c r="D28" s="270"/>
      <c r="E28" s="265"/>
    </row>
    <row r="29" spans="1:5" s="267" customFormat="1" ht="25.15" customHeight="1">
      <c r="A29" s="268"/>
      <c r="B29" s="171"/>
      <c r="C29" s="269"/>
      <c r="D29" s="270"/>
      <c r="E29" s="265"/>
    </row>
    <row r="30" spans="1:5" s="267" customFormat="1" ht="25.15" customHeight="1">
      <c r="A30" s="268"/>
      <c r="B30" s="171"/>
      <c r="C30" s="269"/>
      <c r="D30" s="270"/>
      <c r="E30" s="265"/>
    </row>
    <row r="31" spans="1:5" s="267" customFormat="1" ht="25.15" customHeight="1">
      <c r="A31" s="268"/>
      <c r="B31" s="171"/>
      <c r="C31" s="269"/>
      <c r="D31" s="270"/>
      <c r="E31" s="265"/>
    </row>
    <row r="32" spans="1:5" s="267" customFormat="1" ht="25.15" customHeight="1">
      <c r="A32" s="268"/>
      <c r="B32" s="171"/>
      <c r="C32" s="269"/>
      <c r="D32" s="270"/>
      <c r="E32" s="265"/>
    </row>
    <row r="33" spans="1:6" s="267" customFormat="1" ht="25.15" customHeight="1">
      <c r="A33" s="268"/>
      <c r="B33" s="171"/>
      <c r="C33" s="269"/>
      <c r="D33" s="270"/>
      <c r="E33" s="265"/>
    </row>
    <row r="34" spans="1:6" s="267" customFormat="1" ht="25.15" customHeight="1">
      <c r="A34" s="268"/>
      <c r="B34" s="171"/>
      <c r="C34" s="269"/>
      <c r="D34" s="270"/>
      <c r="E34" s="265"/>
    </row>
    <row r="35" spans="1:6" s="267" customFormat="1" ht="25.15" customHeight="1">
      <c r="A35" s="268"/>
      <c r="B35" s="171"/>
      <c r="C35" s="269"/>
      <c r="D35" s="270"/>
      <c r="E35" s="265"/>
    </row>
    <row r="36" spans="1:6" s="267" customFormat="1" ht="25.15" customHeight="1">
      <c r="A36" s="268"/>
      <c r="B36" s="171"/>
      <c r="C36" s="269"/>
      <c r="D36" s="270"/>
      <c r="E36" s="265"/>
    </row>
    <row r="37" spans="1:6" s="267" customFormat="1" ht="25.15" customHeight="1">
      <c r="A37" s="268"/>
      <c r="B37" s="171"/>
      <c r="C37" s="269"/>
      <c r="D37" s="270"/>
      <c r="E37" s="265"/>
    </row>
    <row r="38" spans="1:6" s="267" customFormat="1" ht="25.15" customHeight="1">
      <c r="A38" s="268"/>
      <c r="B38" s="171"/>
      <c r="C38" s="269"/>
      <c r="D38" s="270"/>
      <c r="E38" s="265"/>
    </row>
    <row r="39" spans="1:6" s="267" customFormat="1" ht="162" customHeight="1">
      <c r="A39" s="268"/>
      <c r="B39" s="171"/>
      <c r="C39" s="269"/>
      <c r="D39" s="270"/>
      <c r="E39" s="265"/>
    </row>
    <row r="40" spans="1:6" s="267" customFormat="1" ht="91.15" customHeight="1" thickBot="1">
      <c r="A40" s="650">
        <f>A8</f>
        <v>26</v>
      </c>
      <c r="B40" s="651">
        <f>B8</f>
        <v>14</v>
      </c>
      <c r="C40" s="1141" t="s">
        <v>424</v>
      </c>
      <c r="D40" s="1158"/>
      <c r="E40" s="652">
        <f>E8</f>
        <v>50</v>
      </c>
      <c r="F40" s="271"/>
    </row>
  </sheetData>
  <mergeCells count="11">
    <mergeCell ref="A1:E1"/>
    <mergeCell ref="A2:E2"/>
    <mergeCell ref="A3:E3"/>
    <mergeCell ref="A4:E4"/>
    <mergeCell ref="C40:D40"/>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6" orientation="portrait" blackAndWhite="1" useFirstPageNumber="1" r:id="rId1"/>
  <headerFooter scaleWithDoc="0" alignWithMargins="0">
    <oddFooter>&amp;C&amp;"Arial Unicode MS,標準"&amp;P</oddFooter>
  </headerFooter>
</worksheet>
</file>

<file path=xl/worksheets/sheet23.xml><?xml version="1.0" encoding="utf-8"?>
<worksheet xmlns="http://schemas.openxmlformats.org/spreadsheetml/2006/main" xmlns:r="http://schemas.openxmlformats.org/officeDocument/2006/relationships">
  <sheetPr codeName="Sheet22"/>
  <dimension ref="A1:G70"/>
  <sheetViews>
    <sheetView zoomScaleNormal="100" workbookViewId="0">
      <selection activeCell="A5" sqref="A5:E5"/>
    </sheetView>
  </sheetViews>
  <sheetFormatPr defaultColWidth="9" defaultRowHeight="16.5"/>
  <cols>
    <col min="1" max="2" width="15.625" style="30" customWidth="1"/>
    <col min="3" max="3" width="7.625" style="30" customWidth="1"/>
    <col min="4" max="4" width="34.125" style="30" customWidth="1"/>
    <col min="5" max="5" width="15.625" style="30" customWidth="1"/>
    <col min="6" max="6" width="8.75" style="30" hidden="1" customWidth="1"/>
    <col min="7" max="16384" width="9" style="30"/>
  </cols>
  <sheetData>
    <row r="1" spans="1:6" ht="25.5">
      <c r="A1" s="1017" t="s">
        <v>430</v>
      </c>
      <c r="B1" s="1017"/>
      <c r="C1" s="1017"/>
      <c r="D1" s="1017"/>
      <c r="E1" s="1017"/>
      <c r="F1" s="32"/>
    </row>
    <row r="2" spans="1:6" ht="21">
      <c r="A2" s="1028" t="s">
        <v>145</v>
      </c>
      <c r="B2" s="1028"/>
      <c r="C2" s="1028"/>
      <c r="D2" s="1028"/>
      <c r="E2" s="1028"/>
      <c r="F2" s="33"/>
    </row>
    <row r="3" spans="1:6" ht="21">
      <c r="A3" s="1027" t="s">
        <v>123</v>
      </c>
      <c r="B3" s="1027"/>
      <c r="C3" s="1027"/>
      <c r="D3" s="1027"/>
      <c r="E3" s="1027"/>
      <c r="F3" s="34"/>
    </row>
    <row r="4" spans="1:6" ht="19.5">
      <c r="A4" s="1145" t="s">
        <v>975</v>
      </c>
      <c r="B4" s="1145"/>
      <c r="C4" s="1145"/>
      <c r="D4" s="1145"/>
      <c r="E4" s="1145"/>
      <c r="F4" s="35"/>
    </row>
    <row r="5" spans="1:6" ht="17.25" thickBot="1">
      <c r="A5" s="1157" t="s">
        <v>625</v>
      </c>
      <c r="B5" s="1157"/>
      <c r="C5" s="1157"/>
      <c r="D5" s="1157"/>
      <c r="E5" s="1157"/>
      <c r="F5" s="37"/>
    </row>
    <row r="6" spans="1:6" s="41" customFormat="1" ht="21" customHeight="1">
      <c r="A6" s="1166" t="s">
        <v>158</v>
      </c>
      <c r="B6" s="1166" t="s">
        <v>151</v>
      </c>
      <c r="C6" s="1079" t="s">
        <v>147</v>
      </c>
      <c r="D6" s="1161"/>
      <c r="E6" s="1166" t="s">
        <v>149</v>
      </c>
      <c r="F6" s="54"/>
    </row>
    <row r="7" spans="1:6" s="41" customFormat="1" ht="21" customHeight="1" thickBot="1">
      <c r="A7" s="1167"/>
      <c r="B7" s="1167"/>
      <c r="C7" s="1168"/>
      <c r="D7" s="1169"/>
      <c r="E7" s="1167"/>
      <c r="F7" s="55"/>
    </row>
    <row r="8" spans="1:6" s="47" customFormat="1" ht="23.25" customHeight="1">
      <c r="A8" s="23">
        <f>A9+A23+A27+A32+A37+A40</f>
        <v>59</v>
      </c>
      <c r="B8" s="23">
        <f>B40</f>
        <v>50</v>
      </c>
      <c r="C8" s="1170" t="s">
        <v>128</v>
      </c>
      <c r="D8" s="1125"/>
      <c r="E8" s="23">
        <f>E40</f>
        <v>60</v>
      </c>
      <c r="F8" s="23">
        <f>F20</f>
        <v>0</v>
      </c>
    </row>
    <row r="9" spans="1:6" s="44" customFormat="1" ht="23.25" customHeight="1">
      <c r="A9" s="83">
        <f>A10+A15+A20+A13</f>
        <v>0</v>
      </c>
      <c r="B9" s="83">
        <f>B10+B15+B20+B13</f>
        <v>0</v>
      </c>
      <c r="C9" s="50" t="s">
        <v>297</v>
      </c>
      <c r="D9" s="87"/>
      <c r="E9" s="83">
        <f>E10+E15+E20+E13</f>
        <v>0</v>
      </c>
      <c r="F9" s="23"/>
    </row>
    <row r="10" spans="1:6" s="44" customFormat="1" ht="23.25" customHeight="1">
      <c r="A10" s="83">
        <f>SUM(A11:A12)</f>
        <v>0</v>
      </c>
      <c r="B10" s="83">
        <f>SUM(B11:B12)</f>
        <v>0</v>
      </c>
      <c r="C10" s="151" t="s">
        <v>31</v>
      </c>
      <c r="D10" s="38"/>
      <c r="E10" s="83">
        <f>SUM(E11:E12)</f>
        <v>0</v>
      </c>
      <c r="F10" s="23"/>
    </row>
    <row r="11" spans="1:6" s="44" customFormat="1" ht="23.25" customHeight="1">
      <c r="A11" s="23"/>
      <c r="B11" s="83">
        <v>0</v>
      </c>
      <c r="C11" s="45" t="s">
        <v>32</v>
      </c>
      <c r="D11" s="38"/>
      <c r="E11" s="83">
        <v>0</v>
      </c>
      <c r="F11" s="23"/>
    </row>
    <row r="12" spans="1:6" s="44" customFormat="1" ht="23.25" customHeight="1">
      <c r="A12" s="23"/>
      <c r="B12" s="83">
        <v>0</v>
      </c>
      <c r="C12" s="45" t="s">
        <v>33</v>
      </c>
      <c r="D12" s="38"/>
      <c r="E12" s="83">
        <v>0</v>
      </c>
      <c r="F12" s="23"/>
    </row>
    <row r="13" spans="1:6" s="44" customFormat="1" ht="23.25" hidden="1" customHeight="1">
      <c r="A13" s="83">
        <f>SUM(A14)</f>
        <v>0</v>
      </c>
      <c r="B13" s="83">
        <f>SUM(B14)</f>
        <v>0</v>
      </c>
      <c r="C13" s="66" t="s">
        <v>596</v>
      </c>
      <c r="D13" s="39"/>
      <c r="E13" s="83">
        <f>SUM(E14)</f>
        <v>0</v>
      </c>
      <c r="F13" s="23"/>
    </row>
    <row r="14" spans="1:6" s="44" customFormat="1" ht="23.25" hidden="1" customHeight="1">
      <c r="A14" s="23">
        <v>0</v>
      </c>
      <c r="B14" s="83">
        <v>0</v>
      </c>
      <c r="C14" s="40" t="s">
        <v>34</v>
      </c>
      <c r="D14" s="39"/>
      <c r="E14" s="83">
        <v>0</v>
      </c>
      <c r="F14" s="23"/>
    </row>
    <row r="15" spans="1:6" s="44" customFormat="1" ht="23.25" customHeight="1">
      <c r="A15" s="83">
        <f>SUM(A16:A19)</f>
        <v>0</v>
      </c>
      <c r="B15" s="83">
        <f>SUM(B16:B19)</f>
        <v>0</v>
      </c>
      <c r="C15" s="66" t="s">
        <v>35</v>
      </c>
      <c r="D15" s="39"/>
      <c r="E15" s="83">
        <f>SUM(E16:E19)</f>
        <v>0</v>
      </c>
      <c r="F15" s="23"/>
    </row>
    <row r="16" spans="1:6" s="44" customFormat="1" ht="23.25" customHeight="1">
      <c r="A16" s="23"/>
      <c r="B16" s="83">
        <v>0</v>
      </c>
      <c r="C16" s="40" t="s">
        <v>36</v>
      </c>
      <c r="D16" s="39"/>
      <c r="E16" s="83">
        <v>0</v>
      </c>
      <c r="F16" s="23"/>
    </row>
    <row r="17" spans="1:7" s="44" customFormat="1" ht="23.25" hidden="1" customHeight="1">
      <c r="A17" s="23">
        <v>0</v>
      </c>
      <c r="B17" s="83">
        <v>0</v>
      </c>
      <c r="C17" s="364" t="s">
        <v>37</v>
      </c>
      <c r="D17" s="158"/>
      <c r="E17" s="83">
        <v>0</v>
      </c>
      <c r="F17" s="23"/>
    </row>
    <row r="18" spans="1:7" s="44" customFormat="1" ht="23.25" customHeight="1">
      <c r="A18" s="23"/>
      <c r="B18" s="83">
        <v>0</v>
      </c>
      <c r="C18" s="364" t="s">
        <v>460</v>
      </c>
      <c r="D18" s="158"/>
      <c r="E18" s="83">
        <v>0</v>
      </c>
      <c r="F18" s="23"/>
    </row>
    <row r="19" spans="1:7" s="44" customFormat="1" ht="23.25" hidden="1" customHeight="1">
      <c r="A19" s="23">
        <v>0</v>
      </c>
      <c r="B19" s="83">
        <v>0</v>
      </c>
      <c r="C19" s="364" t="s">
        <v>38</v>
      </c>
      <c r="D19" s="158"/>
      <c r="E19" s="83">
        <v>0</v>
      </c>
      <c r="F19" s="23"/>
    </row>
    <row r="20" spans="1:7" s="47" customFormat="1" ht="23.25" customHeight="1">
      <c r="A20" s="23">
        <f>SUM(A21:A22)</f>
        <v>0</v>
      </c>
      <c r="B20" s="23">
        <f>SUM(B21:B22)</f>
        <v>0</v>
      </c>
      <c r="C20" s="359" t="s">
        <v>27</v>
      </c>
      <c r="D20" s="158"/>
      <c r="E20" s="23">
        <f>SUM(E21:F22)</f>
        <v>0</v>
      </c>
      <c r="F20" s="23">
        <f>F22</f>
        <v>0</v>
      </c>
    </row>
    <row r="21" spans="1:7" s="47" customFormat="1" ht="23.25" customHeight="1">
      <c r="A21" s="23"/>
      <c r="B21" s="23">
        <v>0</v>
      </c>
      <c r="C21" s="40" t="s">
        <v>39</v>
      </c>
      <c r="D21" s="57"/>
      <c r="E21" s="23">
        <v>0</v>
      </c>
      <c r="F21" s="38"/>
    </row>
    <row r="22" spans="1:7" s="47" customFormat="1" ht="23.25" customHeight="1">
      <c r="A22" s="23"/>
      <c r="B22" s="83">
        <v>0</v>
      </c>
      <c r="C22" s="40" t="s">
        <v>40</v>
      </c>
      <c r="D22" s="84"/>
      <c r="E22" s="83">
        <v>0</v>
      </c>
      <c r="G22" s="47" t="s">
        <v>462</v>
      </c>
    </row>
    <row r="23" spans="1:7" s="47" customFormat="1" ht="23.25" customHeight="1">
      <c r="A23" s="23">
        <f>A24</f>
        <v>0</v>
      </c>
      <c r="B23" s="23">
        <f>B24</f>
        <v>0</v>
      </c>
      <c r="C23" s="1124" t="s">
        <v>96</v>
      </c>
      <c r="D23" s="1125"/>
      <c r="E23" s="23">
        <f>E24</f>
        <v>0</v>
      </c>
      <c r="F23" s="23">
        <f>F28</f>
        <v>0</v>
      </c>
      <c r="G23" s="123" t="e">
        <f>E23/B23</f>
        <v>#DIV/0!</v>
      </c>
    </row>
    <row r="24" spans="1:7" s="47" customFormat="1" ht="23.25" customHeight="1">
      <c r="A24" s="23">
        <f>A26+A25</f>
        <v>0</v>
      </c>
      <c r="B24" s="23">
        <f>B26</f>
        <v>0</v>
      </c>
      <c r="C24" s="360" t="s">
        <v>41</v>
      </c>
      <c r="D24" s="59"/>
      <c r="E24" s="23">
        <f>E26</f>
        <v>0</v>
      </c>
      <c r="F24" s="23"/>
      <c r="G24" s="123" t="e">
        <f>E24/B24</f>
        <v>#DIV/0!</v>
      </c>
    </row>
    <row r="25" spans="1:7" s="47" customFormat="1" ht="23.25" customHeight="1">
      <c r="A25" s="124"/>
      <c r="B25" s="124">
        <v>0</v>
      </c>
      <c r="C25" s="56" t="s">
        <v>42</v>
      </c>
      <c r="D25" s="59"/>
      <c r="E25" s="124">
        <v>0</v>
      </c>
      <c r="F25" s="23"/>
      <c r="G25" s="123" t="e">
        <f>E25/B25</f>
        <v>#DIV/0!</v>
      </c>
    </row>
    <row r="26" spans="1:7" s="47" customFormat="1" ht="23.25" customHeight="1">
      <c r="A26" s="124"/>
      <c r="B26" s="124">
        <v>0</v>
      </c>
      <c r="C26" s="56" t="s">
        <v>634</v>
      </c>
      <c r="D26" s="59"/>
      <c r="E26" s="124">
        <v>0</v>
      </c>
      <c r="F26" s="23"/>
      <c r="G26" s="123" t="e">
        <f>E26/B26</f>
        <v>#DIV/0!</v>
      </c>
    </row>
    <row r="27" spans="1:7" ht="23.25" customHeight="1">
      <c r="A27" s="23">
        <f>A28+A30</f>
        <v>0</v>
      </c>
      <c r="B27" s="23">
        <f>SUM(B28,B30)</f>
        <v>0</v>
      </c>
      <c r="C27" s="50" t="s">
        <v>152</v>
      </c>
      <c r="D27" s="39"/>
      <c r="E27" s="23">
        <f>SUM(E28,E30)</f>
        <v>0</v>
      </c>
    </row>
    <row r="28" spans="1:7" ht="23.25" customHeight="1">
      <c r="A28" s="23">
        <f>A29</f>
        <v>0</v>
      </c>
      <c r="B28" s="23">
        <f>SUM(B29)</f>
        <v>0</v>
      </c>
      <c r="C28" s="66" t="s">
        <v>43</v>
      </c>
      <c r="D28" s="39"/>
      <c r="E28" s="23">
        <f>SUM(E29)</f>
        <v>0</v>
      </c>
    </row>
    <row r="29" spans="1:7" ht="23.25" customHeight="1">
      <c r="A29" s="23"/>
      <c r="B29" s="23">
        <v>0</v>
      </c>
      <c r="C29" s="40" t="s">
        <v>28</v>
      </c>
      <c r="D29" s="39"/>
      <c r="E29" s="23">
        <v>0</v>
      </c>
    </row>
    <row r="30" spans="1:7" ht="23.25" customHeight="1">
      <c r="A30" s="23">
        <f>A31</f>
        <v>0</v>
      </c>
      <c r="B30" s="23">
        <f>SUM(B31)</f>
        <v>0</v>
      </c>
      <c r="C30" s="66" t="s">
        <v>44</v>
      </c>
      <c r="D30" s="39"/>
      <c r="E30" s="23">
        <f>SUM(E31)</f>
        <v>0</v>
      </c>
    </row>
    <row r="31" spans="1:7" ht="23.25" customHeight="1">
      <c r="A31" s="23"/>
      <c r="B31" s="23">
        <v>0</v>
      </c>
      <c r="C31" s="40" t="s">
        <v>29</v>
      </c>
      <c r="D31" s="39"/>
      <c r="E31" s="23">
        <v>0</v>
      </c>
    </row>
    <row r="32" spans="1:7" ht="23.25" customHeight="1">
      <c r="A32" s="23">
        <f>A33+A35</f>
        <v>0</v>
      </c>
      <c r="B32" s="23">
        <f>B33+B35</f>
        <v>0</v>
      </c>
      <c r="C32" s="50" t="s">
        <v>836</v>
      </c>
      <c r="D32" s="39"/>
      <c r="E32" s="23">
        <f>SUM(E33)</f>
        <v>0</v>
      </c>
    </row>
    <row r="33" spans="1:5" ht="23.25" customHeight="1">
      <c r="A33" s="23">
        <f>A34</f>
        <v>0</v>
      </c>
      <c r="B33" s="23">
        <f>SUM(B34)</f>
        <v>0</v>
      </c>
      <c r="C33" s="66" t="s">
        <v>635</v>
      </c>
      <c r="D33" s="39"/>
      <c r="E33" s="23">
        <f>SUM(E34)</f>
        <v>0</v>
      </c>
    </row>
    <row r="34" spans="1:5" ht="23.25" customHeight="1">
      <c r="A34" s="23"/>
      <c r="B34" s="23">
        <v>0</v>
      </c>
      <c r="C34" s="40" t="s">
        <v>636</v>
      </c>
      <c r="D34" s="39"/>
      <c r="E34" s="23">
        <v>0</v>
      </c>
    </row>
    <row r="35" spans="1:5" ht="23.25" customHeight="1">
      <c r="A35" s="23">
        <f>A36</f>
        <v>0</v>
      </c>
      <c r="B35" s="23">
        <f>SUM(B36)</f>
        <v>0</v>
      </c>
      <c r="C35" s="66" t="s">
        <v>30</v>
      </c>
      <c r="D35" s="39"/>
      <c r="E35" s="23">
        <f>SUM(E36)</f>
        <v>0</v>
      </c>
    </row>
    <row r="36" spans="1:5" ht="23.25" customHeight="1">
      <c r="A36" s="23"/>
      <c r="B36" s="23">
        <v>0</v>
      </c>
      <c r="C36" s="40" t="s">
        <v>45</v>
      </c>
      <c r="D36" s="39"/>
      <c r="E36" s="23">
        <v>0</v>
      </c>
    </row>
    <row r="37" spans="1:5" ht="23.25" customHeight="1">
      <c r="A37" s="23">
        <f>A38</f>
        <v>0</v>
      </c>
      <c r="B37" s="23">
        <f>B38</f>
        <v>0</v>
      </c>
      <c r="C37" s="50" t="s">
        <v>637</v>
      </c>
      <c r="D37" s="39"/>
      <c r="E37" s="23">
        <f>SUM(E38)</f>
        <v>0</v>
      </c>
    </row>
    <row r="38" spans="1:5" ht="23.25" customHeight="1">
      <c r="A38" s="23">
        <f>A39</f>
        <v>0</v>
      </c>
      <c r="B38" s="23">
        <f>SUM(B39)</f>
        <v>0</v>
      </c>
      <c r="C38" s="66" t="s">
        <v>638</v>
      </c>
      <c r="D38" s="39"/>
      <c r="E38" s="23">
        <f>SUM(E39)</f>
        <v>0</v>
      </c>
    </row>
    <row r="39" spans="1:5" ht="23.25" customHeight="1">
      <c r="A39" s="23"/>
      <c r="B39" s="23">
        <v>0</v>
      </c>
      <c r="C39" s="40" t="s">
        <v>639</v>
      </c>
      <c r="D39" s="39"/>
      <c r="E39" s="23">
        <v>0</v>
      </c>
    </row>
    <row r="40" spans="1:5" ht="23.25" customHeight="1" thickBot="1">
      <c r="A40" s="370">
        <f>A41</f>
        <v>59</v>
      </c>
      <c r="B40" s="370">
        <f>B41</f>
        <v>50</v>
      </c>
      <c r="C40" s="421" t="s">
        <v>433</v>
      </c>
      <c r="D40" s="422"/>
      <c r="E40" s="370">
        <f>SUM(E41)</f>
        <v>60</v>
      </c>
    </row>
    <row r="41" spans="1:5" ht="23.25" customHeight="1">
      <c r="A41" s="23">
        <f>A42</f>
        <v>59</v>
      </c>
      <c r="B41" s="23">
        <f>SUM(B42)</f>
        <v>50</v>
      </c>
      <c r="C41" s="66" t="s">
        <v>640</v>
      </c>
      <c r="D41" s="39"/>
      <c r="E41" s="23">
        <f>SUM(E42)</f>
        <v>60</v>
      </c>
    </row>
    <row r="42" spans="1:5" ht="23.25" customHeight="1">
      <c r="A42" s="23">
        <v>59</v>
      </c>
      <c r="B42" s="23">
        <v>50</v>
      </c>
      <c r="C42" s="40" t="s">
        <v>641</v>
      </c>
      <c r="D42" s="39"/>
      <c r="E42" s="23">
        <v>60</v>
      </c>
    </row>
    <row r="43" spans="1:5" ht="23.25" customHeight="1">
      <c r="A43" s="23"/>
      <c r="B43" s="23"/>
      <c r="C43" s="39"/>
      <c r="D43" s="39"/>
      <c r="E43" s="23"/>
    </row>
    <row r="44" spans="1:5" ht="23.25" customHeight="1">
      <c r="A44" s="23"/>
      <c r="B44" s="23"/>
      <c r="C44" s="39"/>
      <c r="D44" s="39"/>
      <c r="E44" s="23"/>
    </row>
    <row r="45" spans="1:5" ht="23.25" customHeight="1">
      <c r="A45" s="23"/>
      <c r="B45" s="23"/>
      <c r="C45" s="39"/>
      <c r="D45" s="39"/>
      <c r="E45" s="23"/>
    </row>
    <row r="46" spans="1:5" ht="23.25" customHeight="1">
      <c r="A46" s="23"/>
      <c r="B46" s="23"/>
      <c r="C46" s="39"/>
      <c r="D46" s="39"/>
      <c r="E46" s="23"/>
    </row>
    <row r="47" spans="1:5" ht="23.25" customHeight="1">
      <c r="A47" s="23"/>
      <c r="B47" s="23"/>
      <c r="C47" s="39"/>
      <c r="D47" s="39"/>
      <c r="E47" s="23"/>
    </row>
    <row r="48" spans="1:5" ht="23.25" customHeight="1">
      <c r="A48" s="23"/>
      <c r="B48" s="23"/>
      <c r="C48" s="39"/>
      <c r="D48" s="39"/>
      <c r="E48" s="23"/>
    </row>
    <row r="49" spans="1:5" ht="23.25" customHeight="1">
      <c r="A49" s="23"/>
      <c r="B49" s="23"/>
      <c r="C49" s="39"/>
      <c r="D49" s="39"/>
      <c r="E49" s="23"/>
    </row>
    <row r="50" spans="1:5" ht="23.25" customHeight="1">
      <c r="A50" s="23"/>
      <c r="B50" s="23"/>
      <c r="C50" s="39"/>
      <c r="D50" s="39"/>
      <c r="E50" s="23"/>
    </row>
    <row r="51" spans="1:5" ht="23.25" customHeight="1">
      <c r="A51" s="23"/>
      <c r="B51" s="23"/>
      <c r="C51" s="39"/>
      <c r="D51" s="39"/>
      <c r="E51" s="23"/>
    </row>
    <row r="52" spans="1:5" ht="23.25" customHeight="1">
      <c r="A52" s="23"/>
      <c r="B52" s="23"/>
      <c r="C52" s="39"/>
      <c r="D52" s="39"/>
      <c r="E52" s="23"/>
    </row>
    <row r="53" spans="1:5" ht="23.25" customHeight="1">
      <c r="A53" s="23"/>
      <c r="B53" s="23"/>
      <c r="C53" s="39"/>
      <c r="D53" s="39"/>
      <c r="E53" s="23"/>
    </row>
    <row r="54" spans="1:5" ht="23.25" customHeight="1">
      <c r="A54" s="23"/>
      <c r="B54" s="23"/>
      <c r="C54" s="39"/>
      <c r="D54" s="39"/>
      <c r="E54" s="23"/>
    </row>
    <row r="55" spans="1:5" ht="23.25" customHeight="1">
      <c r="A55" s="23"/>
      <c r="B55" s="23"/>
      <c r="C55" s="39"/>
      <c r="D55" s="39"/>
      <c r="E55" s="23"/>
    </row>
    <row r="56" spans="1:5" ht="23.25" customHeight="1">
      <c r="A56" s="23"/>
      <c r="B56" s="23"/>
      <c r="C56" s="39"/>
      <c r="D56" s="39"/>
      <c r="E56" s="23"/>
    </row>
    <row r="57" spans="1:5" ht="23.25" customHeight="1">
      <c r="A57" s="23"/>
      <c r="B57" s="23"/>
      <c r="C57" s="39"/>
      <c r="D57" s="39"/>
      <c r="E57" s="23"/>
    </row>
    <row r="58" spans="1:5" ht="23.25" customHeight="1">
      <c r="A58" s="23"/>
      <c r="B58" s="23"/>
      <c r="C58" s="39"/>
      <c r="D58" s="39"/>
      <c r="E58" s="23"/>
    </row>
    <row r="59" spans="1:5" ht="23.25" customHeight="1">
      <c r="A59" s="23"/>
      <c r="B59" s="23"/>
      <c r="C59" s="39"/>
      <c r="D59" s="39"/>
      <c r="E59" s="23"/>
    </row>
    <row r="60" spans="1:5" ht="23.25" customHeight="1">
      <c r="A60" s="23"/>
      <c r="B60" s="23"/>
      <c r="C60" s="39"/>
      <c r="D60" s="39"/>
      <c r="E60" s="23"/>
    </row>
    <row r="61" spans="1:5" ht="23.25" customHeight="1">
      <c r="A61" s="23"/>
      <c r="B61" s="23"/>
      <c r="C61" s="39"/>
      <c r="D61" s="39"/>
      <c r="E61" s="23"/>
    </row>
    <row r="62" spans="1:5" ht="23.25" customHeight="1">
      <c r="A62" s="23"/>
      <c r="B62" s="23"/>
      <c r="C62" s="39"/>
      <c r="D62" s="39"/>
      <c r="E62" s="23"/>
    </row>
    <row r="63" spans="1:5" ht="23.25" customHeight="1">
      <c r="A63" s="23"/>
      <c r="B63" s="23"/>
      <c r="C63" s="39"/>
      <c r="D63" s="39"/>
      <c r="E63" s="23"/>
    </row>
    <row r="64" spans="1:5" ht="23.25" customHeight="1">
      <c r="A64" s="23"/>
      <c r="B64" s="23"/>
      <c r="C64" s="39"/>
      <c r="D64" s="39"/>
      <c r="E64" s="23"/>
    </row>
    <row r="65" spans="1:7" ht="23.25" customHeight="1">
      <c r="A65" s="23"/>
      <c r="B65" s="23"/>
      <c r="C65" s="39"/>
      <c r="D65" s="39"/>
      <c r="E65" s="23"/>
    </row>
    <row r="66" spans="1:7" ht="23.25" customHeight="1">
      <c r="A66" s="23"/>
      <c r="B66" s="23"/>
      <c r="C66" s="39"/>
      <c r="D66" s="39"/>
      <c r="E66" s="23"/>
    </row>
    <row r="67" spans="1:7" ht="23.25" customHeight="1">
      <c r="A67" s="23"/>
      <c r="B67" s="23"/>
      <c r="C67" s="39"/>
      <c r="D67" s="39"/>
      <c r="E67" s="23"/>
    </row>
    <row r="68" spans="1:7" ht="23.25" customHeight="1">
      <c r="A68" s="23"/>
      <c r="B68" s="23"/>
      <c r="C68" s="39"/>
      <c r="D68" s="39"/>
      <c r="E68" s="23"/>
    </row>
    <row r="69" spans="1:7" ht="23.25" customHeight="1" thickBot="1">
      <c r="A69" s="363">
        <f>A8</f>
        <v>59</v>
      </c>
      <c r="B69" s="363">
        <f>B8</f>
        <v>50</v>
      </c>
      <c r="C69" s="1118" t="s">
        <v>18</v>
      </c>
      <c r="D69" s="1119"/>
      <c r="E69" s="363">
        <f>E8</f>
        <v>60</v>
      </c>
      <c r="F69" s="63"/>
      <c r="G69" s="122"/>
    </row>
    <row r="70" spans="1:7">
      <c r="A70" s="64"/>
      <c r="B70" s="64"/>
      <c r="C70" s="64"/>
      <c r="D70" s="64"/>
      <c r="E70" s="29"/>
    </row>
  </sheetData>
  <mergeCells count="12">
    <mergeCell ref="C69:D69"/>
    <mergeCell ref="A6:A7"/>
    <mergeCell ref="E6:E7"/>
    <mergeCell ref="C6:D7"/>
    <mergeCell ref="B6:B7"/>
    <mergeCell ref="C8:D8"/>
    <mergeCell ref="C23:D23"/>
    <mergeCell ref="A5:E5"/>
    <mergeCell ref="A1:E1"/>
    <mergeCell ref="A2:E2"/>
    <mergeCell ref="A3:E3"/>
    <mergeCell ref="A4:E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 Unicode MS,標準"&amp;P</oddFooter>
  </headerFooter>
</worksheet>
</file>

<file path=xl/worksheets/sheet24.xml><?xml version="1.0" encoding="utf-8"?>
<worksheet xmlns="http://schemas.openxmlformats.org/spreadsheetml/2006/main" xmlns:r="http://schemas.openxmlformats.org/officeDocument/2006/relationships">
  <sheetPr codeName="Sheet23">
    <tabColor rgb="FFFFFFCC"/>
  </sheetPr>
  <dimension ref="A1:K42"/>
  <sheetViews>
    <sheetView workbookViewId="0">
      <selection activeCell="G14" sqref="G14"/>
    </sheetView>
  </sheetViews>
  <sheetFormatPr defaultColWidth="9" defaultRowHeight="16.5"/>
  <cols>
    <col min="1" max="1" width="16.375" style="1" customWidth="1"/>
    <col min="2" max="2" width="7.875" style="1" hidden="1" customWidth="1"/>
    <col min="3" max="3" width="8.375" style="1" hidden="1" customWidth="1"/>
    <col min="4" max="4" width="9.625" style="1" hidden="1" customWidth="1"/>
    <col min="5" max="5" width="11.75" style="1" customWidth="1"/>
    <col min="6" max="6" width="9.625" style="1" customWidth="1"/>
    <col min="7" max="8" width="10.75" style="1" customWidth="1"/>
    <col min="9" max="9" width="8.375" style="1" customWidth="1"/>
    <col min="10" max="10" width="11.25" style="1" customWidth="1"/>
    <col min="11" max="11" width="9.25" style="1" customWidth="1"/>
    <col min="12" max="16384" width="9" style="1"/>
  </cols>
  <sheetData>
    <row r="1" spans="1:11" ht="25.5">
      <c r="A1" s="1172" t="s">
        <v>220</v>
      </c>
      <c r="B1" s="1173"/>
      <c r="C1" s="1173"/>
      <c r="D1" s="1173"/>
      <c r="E1" s="1173"/>
      <c r="F1" s="1173"/>
      <c r="G1" s="1173"/>
      <c r="H1" s="1173"/>
      <c r="I1" s="1173"/>
      <c r="J1" s="1173"/>
      <c r="K1" s="1173"/>
    </row>
    <row r="2" spans="1:11" ht="21">
      <c r="A2" s="1174" t="s">
        <v>76</v>
      </c>
      <c r="B2" s="1175"/>
      <c r="C2" s="1175"/>
      <c r="D2" s="1175"/>
      <c r="E2" s="1175"/>
      <c r="F2" s="1175"/>
      <c r="G2" s="1175"/>
      <c r="H2" s="1175"/>
      <c r="I2" s="1175"/>
      <c r="J2" s="1175"/>
      <c r="K2" s="1175"/>
    </row>
    <row r="3" spans="1:11" ht="21">
      <c r="A3" s="988" t="s">
        <v>194</v>
      </c>
      <c r="B3" s="1174"/>
      <c r="C3" s="1174"/>
      <c r="D3" s="1174"/>
      <c r="E3" s="1174"/>
      <c r="F3" s="1174"/>
      <c r="G3" s="1174"/>
      <c r="H3" s="1174"/>
      <c r="I3" s="1174"/>
      <c r="J3" s="1174"/>
      <c r="K3" s="1174"/>
    </row>
    <row r="4" spans="1:11" s="128" customFormat="1" ht="19.5">
      <c r="A4" s="1176" t="s">
        <v>1084</v>
      </c>
      <c r="B4" s="1177"/>
      <c r="C4" s="1177"/>
      <c r="D4" s="1177"/>
      <c r="E4" s="1177"/>
      <c r="F4" s="1177"/>
      <c r="G4" s="1177"/>
      <c r="H4" s="1177"/>
      <c r="I4" s="1177"/>
      <c r="J4" s="1177"/>
      <c r="K4" s="1177"/>
    </row>
    <row r="5" spans="1:11" ht="17.25" thickBot="1">
      <c r="B5" s="214" t="s">
        <v>75</v>
      </c>
      <c r="C5" s="214"/>
      <c r="D5" s="214"/>
      <c r="E5" s="1171"/>
      <c r="F5" s="1171"/>
      <c r="G5" s="1171"/>
      <c r="K5" s="11" t="s">
        <v>237</v>
      </c>
    </row>
    <row r="6" spans="1:11" s="25" customFormat="1" ht="27.6" customHeight="1">
      <c r="A6" s="1182" t="s">
        <v>188</v>
      </c>
      <c r="B6" s="1178" t="s">
        <v>997</v>
      </c>
      <c r="C6" s="1178"/>
      <c r="D6" s="1178"/>
      <c r="E6" s="1178"/>
      <c r="F6" s="1178"/>
      <c r="G6" s="1178"/>
      <c r="H6" s="1178"/>
      <c r="I6" s="1178" t="s">
        <v>998</v>
      </c>
      <c r="J6" s="1178" t="s">
        <v>1001</v>
      </c>
      <c r="K6" s="1179" t="s">
        <v>192</v>
      </c>
    </row>
    <row r="7" spans="1:11" s="25" customFormat="1" ht="42" customHeight="1">
      <c r="A7" s="1183"/>
      <c r="B7" s="743" t="s">
        <v>191</v>
      </c>
      <c r="C7" s="743" t="s">
        <v>667</v>
      </c>
      <c r="D7" s="743" t="s">
        <v>668</v>
      </c>
      <c r="E7" s="743" t="s">
        <v>666</v>
      </c>
      <c r="F7" s="743" t="s">
        <v>189</v>
      </c>
      <c r="G7" s="743" t="s">
        <v>190</v>
      </c>
      <c r="H7" s="743" t="s">
        <v>996</v>
      </c>
      <c r="I7" s="1181"/>
      <c r="J7" s="1181"/>
      <c r="K7" s="1180"/>
    </row>
    <row r="8" spans="1:11" s="25" customFormat="1" ht="14.25" customHeight="1">
      <c r="A8" s="272"/>
      <c r="B8" s="273"/>
      <c r="C8" s="274"/>
      <c r="D8" s="274"/>
      <c r="E8" s="274"/>
      <c r="F8" s="273"/>
      <c r="G8" s="273"/>
      <c r="H8" s="273"/>
      <c r="I8" s="744"/>
      <c r="J8" s="744"/>
      <c r="K8" s="275"/>
    </row>
    <row r="9" spans="1:11" s="294" customFormat="1" ht="30" customHeight="1">
      <c r="A9" s="291" t="s">
        <v>1000</v>
      </c>
      <c r="B9" s="292"/>
      <c r="C9" s="292"/>
      <c r="D9" s="292"/>
      <c r="E9" s="664">
        <f>SUM(E11:E13)</f>
        <v>13010</v>
      </c>
      <c r="F9" s="664"/>
      <c r="G9" s="664">
        <f>SUM(G11:G13)</f>
        <v>4485</v>
      </c>
      <c r="H9" s="664">
        <f>SUM(H11:H13)</f>
        <v>17495</v>
      </c>
      <c r="I9" s="745"/>
      <c r="J9" s="745">
        <f>H9</f>
        <v>17495</v>
      </c>
      <c r="K9" s="293"/>
    </row>
    <row r="10" spans="1:11" s="294" customFormat="1" ht="33" customHeight="1">
      <c r="A10" s="291" t="s">
        <v>999</v>
      </c>
      <c r="B10" s="292"/>
      <c r="C10" s="292"/>
      <c r="D10" s="292"/>
      <c r="E10" s="664"/>
      <c r="F10" s="664"/>
      <c r="G10" s="664"/>
      <c r="H10" s="664"/>
      <c r="I10" s="745"/>
      <c r="J10" s="745"/>
      <c r="K10" s="293"/>
    </row>
    <row r="11" spans="1:11" ht="33" hidden="1" customHeight="1">
      <c r="A11" s="248" t="s">
        <v>59</v>
      </c>
      <c r="B11" s="115"/>
      <c r="C11" s="115"/>
      <c r="D11" s="115"/>
      <c r="E11" s="665"/>
      <c r="F11" s="665"/>
      <c r="G11" s="666"/>
      <c r="H11" s="667">
        <f>SUM(B11:G11)</f>
        <v>0</v>
      </c>
      <c r="I11" s="746"/>
      <c r="J11" s="746"/>
      <c r="K11" s="117"/>
    </row>
    <row r="12" spans="1:11" ht="33" hidden="1" customHeight="1">
      <c r="A12" s="248"/>
      <c r="B12" s="115"/>
      <c r="C12" s="115"/>
      <c r="D12" s="115"/>
      <c r="E12" s="665"/>
      <c r="F12" s="665"/>
      <c r="G12" s="666"/>
      <c r="H12" s="667"/>
      <c r="I12" s="746"/>
      <c r="J12" s="746"/>
      <c r="K12" s="117"/>
    </row>
    <row r="13" spans="1:11" ht="33" customHeight="1">
      <c r="A13" s="248" t="s">
        <v>60</v>
      </c>
      <c r="B13" s="115"/>
      <c r="C13" s="115"/>
      <c r="D13" s="115"/>
      <c r="E13" s="665">
        <v>13010</v>
      </c>
      <c r="F13" s="665"/>
      <c r="G13" s="665">
        <v>4485</v>
      </c>
      <c r="H13" s="665">
        <f>SUM(B13:G13)</f>
        <v>17495</v>
      </c>
      <c r="I13" s="747"/>
      <c r="J13" s="747">
        <f>H13</f>
        <v>17495</v>
      </c>
      <c r="K13" s="117"/>
    </row>
    <row r="14" spans="1:11" ht="27" customHeight="1">
      <c r="A14" s="160"/>
      <c r="B14" s="105"/>
      <c r="C14" s="105"/>
      <c r="D14" s="105"/>
      <c r="E14" s="105"/>
      <c r="F14" s="105"/>
      <c r="G14" s="116"/>
      <c r="H14" s="105"/>
      <c r="I14" s="748"/>
      <c r="J14" s="748"/>
      <c r="K14" s="117"/>
    </row>
    <row r="15" spans="1:11" ht="30.75" customHeight="1">
      <c r="A15" s="160"/>
      <c r="B15" s="105"/>
      <c r="C15" s="105"/>
      <c r="D15" s="105"/>
      <c r="E15" s="105"/>
      <c r="F15" s="105"/>
      <c r="G15" s="116"/>
      <c r="H15" s="105"/>
      <c r="I15" s="748"/>
      <c r="J15" s="748"/>
      <c r="K15" s="117"/>
    </row>
    <row r="16" spans="1:11">
      <c r="A16" s="160"/>
      <c r="B16" s="105"/>
      <c r="C16" s="105"/>
      <c r="D16" s="105"/>
      <c r="E16" s="105"/>
      <c r="F16" s="105"/>
      <c r="G16" s="116"/>
      <c r="H16" s="105"/>
      <c r="I16" s="748"/>
      <c r="J16" s="748"/>
      <c r="K16" s="117"/>
    </row>
    <row r="17" spans="1:11">
      <c r="A17" s="160"/>
      <c r="B17" s="105"/>
      <c r="C17" s="105"/>
      <c r="D17" s="105"/>
      <c r="E17" s="105"/>
      <c r="F17" s="105"/>
      <c r="G17" s="116"/>
      <c r="H17" s="105"/>
      <c r="I17" s="748"/>
      <c r="J17" s="748"/>
      <c r="K17" s="117"/>
    </row>
    <row r="18" spans="1:11">
      <c r="A18" s="160"/>
      <c r="B18" s="105"/>
      <c r="C18" s="105"/>
      <c r="D18" s="105"/>
      <c r="E18" s="105"/>
      <c r="F18" s="105"/>
      <c r="G18" s="116"/>
      <c r="H18" s="105"/>
      <c r="I18" s="748"/>
      <c r="J18" s="748"/>
      <c r="K18" s="117"/>
    </row>
    <row r="19" spans="1:11">
      <c r="A19" s="160"/>
      <c r="B19" s="105"/>
      <c r="C19" s="105"/>
      <c r="D19" s="105"/>
      <c r="E19" s="105"/>
      <c r="F19" s="105"/>
      <c r="G19" s="116"/>
      <c r="H19" s="105"/>
      <c r="I19" s="748"/>
      <c r="J19" s="748"/>
      <c r="K19" s="117"/>
    </row>
    <row r="20" spans="1:11">
      <c r="A20" s="160"/>
      <c r="B20" s="105"/>
      <c r="C20" s="105"/>
      <c r="D20" s="105"/>
      <c r="E20" s="105"/>
      <c r="F20" s="105"/>
      <c r="G20" s="116"/>
      <c r="H20" s="105"/>
      <c r="I20" s="748"/>
      <c r="J20" s="748"/>
      <c r="K20" s="117"/>
    </row>
    <row r="21" spans="1:11">
      <c r="A21" s="160"/>
      <c r="B21" s="105"/>
      <c r="C21" s="105"/>
      <c r="D21" s="105"/>
      <c r="E21" s="105"/>
      <c r="F21" s="105"/>
      <c r="G21" s="116"/>
      <c r="H21" s="105"/>
      <c r="I21" s="748"/>
      <c r="J21" s="748"/>
      <c r="K21" s="117"/>
    </row>
    <row r="22" spans="1:11">
      <c r="A22" s="160"/>
      <c r="B22" s="105"/>
      <c r="C22" s="105"/>
      <c r="D22" s="105"/>
      <c r="E22" s="105"/>
      <c r="F22" s="105"/>
      <c r="G22" s="116"/>
      <c r="H22" s="105"/>
      <c r="I22" s="748"/>
      <c r="J22" s="748"/>
      <c r="K22" s="117"/>
    </row>
    <row r="23" spans="1:11">
      <c r="A23" s="160"/>
      <c r="B23" s="105"/>
      <c r="C23" s="105"/>
      <c r="D23" s="105"/>
      <c r="E23" s="105"/>
      <c r="F23" s="105"/>
      <c r="G23" s="116"/>
      <c r="H23" s="105"/>
      <c r="I23" s="748"/>
      <c r="J23" s="748"/>
      <c r="K23" s="117"/>
    </row>
    <row r="24" spans="1:11">
      <c r="A24" s="160"/>
      <c r="B24" s="105"/>
      <c r="C24" s="105"/>
      <c r="D24" s="105"/>
      <c r="E24" s="105"/>
      <c r="F24" s="105"/>
      <c r="G24" s="116"/>
      <c r="H24" s="105"/>
      <c r="I24" s="748"/>
      <c r="J24" s="748"/>
      <c r="K24" s="117"/>
    </row>
    <row r="25" spans="1:11">
      <c r="A25" s="160"/>
      <c r="B25" s="105"/>
      <c r="C25" s="105"/>
      <c r="D25" s="105"/>
      <c r="E25" s="105"/>
      <c r="F25" s="105"/>
      <c r="G25" s="116"/>
      <c r="H25" s="105"/>
      <c r="I25" s="748"/>
      <c r="J25" s="748"/>
      <c r="K25" s="117"/>
    </row>
    <row r="26" spans="1:11">
      <c r="A26" s="160"/>
      <c r="B26" s="105"/>
      <c r="C26" s="105"/>
      <c r="D26" s="105"/>
      <c r="E26" s="105"/>
      <c r="F26" s="105"/>
      <c r="G26" s="116"/>
      <c r="H26" s="105"/>
      <c r="I26" s="748"/>
      <c r="J26" s="748"/>
      <c r="K26" s="117"/>
    </row>
    <row r="27" spans="1:11">
      <c r="A27" s="160"/>
      <c r="B27" s="105"/>
      <c r="C27" s="105"/>
      <c r="D27" s="105"/>
      <c r="E27" s="105"/>
      <c r="F27" s="105"/>
      <c r="G27" s="116"/>
      <c r="H27" s="105"/>
      <c r="I27" s="748"/>
      <c r="J27" s="748"/>
      <c r="K27" s="117"/>
    </row>
    <row r="28" spans="1:11">
      <c r="A28" s="160"/>
      <c r="B28" s="105"/>
      <c r="C28" s="105"/>
      <c r="D28" s="105"/>
      <c r="E28" s="105"/>
      <c r="F28" s="105"/>
      <c r="G28" s="116"/>
      <c r="H28" s="105"/>
      <c r="I28" s="748"/>
      <c r="J28" s="748"/>
      <c r="K28" s="117"/>
    </row>
    <row r="29" spans="1:11">
      <c r="A29" s="160"/>
      <c r="B29" s="105"/>
      <c r="C29" s="105"/>
      <c r="D29" s="105"/>
      <c r="E29" s="105"/>
      <c r="F29" s="105"/>
      <c r="G29" s="116"/>
      <c r="H29" s="105"/>
      <c r="I29" s="748"/>
      <c r="J29" s="748"/>
      <c r="K29" s="117"/>
    </row>
    <row r="30" spans="1:11">
      <c r="A30" s="160"/>
      <c r="B30" s="105"/>
      <c r="C30" s="105"/>
      <c r="D30" s="105"/>
      <c r="E30" s="105"/>
      <c r="F30" s="105"/>
      <c r="G30" s="116"/>
      <c r="H30" s="105"/>
      <c r="I30" s="748"/>
      <c r="J30" s="748"/>
      <c r="K30" s="117"/>
    </row>
    <row r="31" spans="1:11">
      <c r="A31" s="160"/>
      <c r="B31" s="105"/>
      <c r="C31" s="105"/>
      <c r="D31" s="105"/>
      <c r="E31" s="105"/>
      <c r="F31" s="105"/>
      <c r="G31" s="116"/>
      <c r="H31" s="105"/>
      <c r="I31" s="748"/>
      <c r="J31" s="748"/>
      <c r="K31" s="117"/>
    </row>
    <row r="32" spans="1:11">
      <c r="A32" s="160"/>
      <c r="B32" s="105"/>
      <c r="C32" s="105"/>
      <c r="D32" s="105"/>
      <c r="E32" s="105"/>
      <c r="F32" s="105"/>
      <c r="G32" s="116"/>
      <c r="H32" s="105"/>
      <c r="I32" s="748"/>
      <c r="J32" s="748"/>
      <c r="K32" s="117"/>
    </row>
    <row r="33" spans="1:11">
      <c r="A33" s="160"/>
      <c r="B33" s="105"/>
      <c r="C33" s="105"/>
      <c r="D33" s="105"/>
      <c r="E33" s="105"/>
      <c r="F33" s="105"/>
      <c r="G33" s="116"/>
      <c r="H33" s="105"/>
      <c r="I33" s="748"/>
      <c r="J33" s="748"/>
      <c r="K33" s="117"/>
    </row>
    <row r="34" spans="1:11">
      <c r="A34" s="160"/>
      <c r="B34" s="105"/>
      <c r="C34" s="105"/>
      <c r="D34" s="105"/>
      <c r="E34" s="105"/>
      <c r="F34" s="105"/>
      <c r="G34" s="116"/>
      <c r="H34" s="105"/>
      <c r="I34" s="748"/>
      <c r="J34" s="748"/>
      <c r="K34" s="117"/>
    </row>
    <row r="35" spans="1:11">
      <c r="A35" s="160"/>
      <c r="B35" s="105"/>
      <c r="C35" s="105"/>
      <c r="D35" s="105"/>
      <c r="E35" s="105"/>
      <c r="F35" s="105"/>
      <c r="G35" s="116"/>
      <c r="H35" s="105"/>
      <c r="I35" s="748"/>
      <c r="J35" s="748"/>
      <c r="K35" s="117"/>
    </row>
    <row r="36" spans="1:11">
      <c r="A36" s="160"/>
      <c r="B36" s="105"/>
      <c r="C36" s="105"/>
      <c r="D36" s="105"/>
      <c r="E36" s="105"/>
      <c r="F36" s="105"/>
      <c r="G36" s="116"/>
      <c r="H36" s="105"/>
      <c r="I36" s="748"/>
      <c r="J36" s="748"/>
      <c r="K36" s="117"/>
    </row>
    <row r="37" spans="1:11">
      <c r="A37" s="160"/>
      <c r="B37" s="105"/>
      <c r="C37" s="105"/>
      <c r="D37" s="105"/>
      <c r="E37" s="105"/>
      <c r="F37" s="105"/>
      <c r="G37" s="116"/>
      <c r="H37" s="105"/>
      <c r="I37" s="748"/>
      <c r="J37" s="748"/>
      <c r="K37" s="117"/>
    </row>
    <row r="38" spans="1:11">
      <c r="A38" s="160"/>
      <c r="B38" s="105"/>
      <c r="C38" s="105"/>
      <c r="D38" s="105"/>
      <c r="E38" s="105"/>
      <c r="F38" s="105"/>
      <c r="G38" s="116"/>
      <c r="H38" s="105"/>
      <c r="I38" s="748"/>
      <c r="J38" s="748"/>
      <c r="K38" s="117"/>
    </row>
    <row r="39" spans="1:11">
      <c r="A39" s="160"/>
      <c r="B39" s="105"/>
      <c r="C39" s="105"/>
      <c r="D39" s="105"/>
      <c r="E39" s="105"/>
      <c r="F39" s="105"/>
      <c r="G39" s="116"/>
      <c r="H39" s="105"/>
      <c r="I39" s="748"/>
      <c r="J39" s="748"/>
      <c r="K39" s="117"/>
    </row>
    <row r="40" spans="1:11">
      <c r="A40" s="160"/>
      <c r="B40" s="105"/>
      <c r="C40" s="105"/>
      <c r="D40" s="105"/>
      <c r="E40" s="105"/>
      <c r="F40" s="105"/>
      <c r="G40" s="116"/>
      <c r="H40" s="105"/>
      <c r="I40" s="748"/>
      <c r="J40" s="748"/>
      <c r="K40" s="117"/>
    </row>
    <row r="41" spans="1:11">
      <c r="A41" s="160"/>
      <c r="B41" s="105"/>
      <c r="C41" s="105"/>
      <c r="D41" s="105"/>
      <c r="E41" s="105"/>
      <c r="F41" s="105"/>
      <c r="G41" s="116"/>
      <c r="H41" s="105"/>
      <c r="I41" s="748"/>
      <c r="J41" s="748"/>
      <c r="K41" s="117"/>
    </row>
    <row r="42" spans="1:11" s="298" customFormat="1" ht="35.450000000000003" customHeight="1" thickBot="1">
      <c r="A42" s="295" t="s">
        <v>417</v>
      </c>
      <c r="B42" s="296"/>
      <c r="C42" s="296"/>
      <c r="D42" s="296"/>
      <c r="E42" s="296">
        <f>E9</f>
        <v>13010</v>
      </c>
      <c r="F42" s="296"/>
      <c r="G42" s="296">
        <f>G9</f>
        <v>4485</v>
      </c>
      <c r="H42" s="296">
        <f>H9</f>
        <v>17495</v>
      </c>
      <c r="I42" s="749"/>
      <c r="J42" s="749">
        <f>H42</f>
        <v>17495</v>
      </c>
      <c r="K42" s="297"/>
    </row>
  </sheetData>
  <mergeCells count="10">
    <mergeCell ref="B6:H6"/>
    <mergeCell ref="K6:K7"/>
    <mergeCell ref="I6:I7"/>
    <mergeCell ref="J6:J7"/>
    <mergeCell ref="A6:A7"/>
    <mergeCell ref="E5:G5"/>
    <mergeCell ref="A1:K1"/>
    <mergeCell ref="A2:K2"/>
    <mergeCell ref="A3:K3"/>
    <mergeCell ref="A4:K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8" orientation="portrait" blackAndWhite="1" useFirstPageNumber="1" r:id="rId1"/>
  <headerFooter scaleWithDoc="0" alignWithMargins="0">
    <oddFooter>&amp;C&amp;"Arial Unicode MS,標準"&amp;P</oddFooter>
  </headerFooter>
</worksheet>
</file>

<file path=xl/worksheets/sheet25.xml><?xml version="1.0" encoding="utf-8"?>
<worksheet xmlns="http://schemas.openxmlformats.org/spreadsheetml/2006/main" xmlns:r="http://schemas.openxmlformats.org/officeDocument/2006/relationships">
  <sheetPr codeName="Sheet25">
    <tabColor rgb="FFFFFFCC"/>
  </sheetPr>
  <dimension ref="A1:M44"/>
  <sheetViews>
    <sheetView zoomScaleNormal="100" workbookViewId="0">
      <selection activeCell="A5" sqref="A5"/>
    </sheetView>
  </sheetViews>
  <sheetFormatPr defaultColWidth="9" defaultRowHeight="16.5"/>
  <cols>
    <col min="1" max="1" width="15.875" style="1" customWidth="1"/>
    <col min="2" max="2" width="9.375" style="1" customWidth="1"/>
    <col min="3" max="3" width="6.375" style="1" customWidth="1"/>
    <col min="4" max="4" width="4.75" style="1" customWidth="1"/>
    <col min="5" max="5" width="3.25" style="1" customWidth="1"/>
    <col min="6" max="6" width="11.25" style="1" bestFit="1" customWidth="1"/>
    <col min="7" max="7" width="9.375" style="1" customWidth="1"/>
    <col min="8" max="9" width="4.625" style="1" customWidth="1"/>
    <col min="10" max="10" width="4.25" style="1" customWidth="1"/>
    <col min="11" max="11" width="3.125" style="1" customWidth="1"/>
    <col min="12" max="13" width="9.375" style="1" customWidth="1"/>
    <col min="14" max="16384" width="9" style="1"/>
  </cols>
  <sheetData>
    <row r="1" spans="1:13" ht="25.5">
      <c r="A1" s="1017" t="s">
        <v>432</v>
      </c>
      <c r="B1" s="1206"/>
      <c r="C1" s="1206"/>
      <c r="D1" s="1206"/>
      <c r="E1" s="1206"/>
      <c r="F1" s="1206"/>
      <c r="G1" s="1206"/>
      <c r="H1" s="1206"/>
      <c r="I1" s="1206"/>
      <c r="J1" s="1206"/>
      <c r="K1" s="1206"/>
      <c r="L1" s="1206"/>
      <c r="M1" s="1206"/>
    </row>
    <row r="2" spans="1:13" ht="21">
      <c r="A2" s="1028" t="s">
        <v>76</v>
      </c>
      <c r="B2" s="1207"/>
      <c r="C2" s="1207"/>
      <c r="D2" s="1207"/>
      <c r="E2" s="1207"/>
      <c r="F2" s="1207"/>
      <c r="G2" s="1207"/>
      <c r="H2" s="1207"/>
      <c r="I2" s="1207"/>
      <c r="J2" s="1207"/>
      <c r="K2" s="1207"/>
      <c r="L2" s="1207"/>
      <c r="M2" s="1207"/>
    </row>
    <row r="3" spans="1:13" ht="20.25" customHeight="1">
      <c r="A3" s="1208" t="s">
        <v>200</v>
      </c>
      <c r="B3" s="1209"/>
      <c r="C3" s="1209"/>
      <c r="D3" s="1209"/>
      <c r="E3" s="1209"/>
      <c r="F3" s="1209"/>
      <c r="G3" s="1209"/>
      <c r="H3" s="1209"/>
      <c r="I3" s="1209"/>
      <c r="J3" s="1209"/>
      <c r="K3" s="1209"/>
      <c r="L3" s="1209"/>
      <c r="M3" s="1209"/>
    </row>
    <row r="4" spans="1:13" s="128" customFormat="1" ht="20.25" customHeight="1">
      <c r="A4" s="1212" t="s">
        <v>1084</v>
      </c>
      <c r="B4" s="1212"/>
      <c r="C4" s="1212"/>
      <c r="D4" s="1212"/>
      <c r="E4" s="1212"/>
      <c r="F4" s="1212"/>
      <c r="G4" s="1212"/>
      <c r="H4" s="1212"/>
      <c r="I4" s="1212"/>
      <c r="J4" s="1212"/>
      <c r="K4" s="1212"/>
      <c r="L4" s="1212"/>
      <c r="M4" s="1212"/>
    </row>
    <row r="5" spans="1:13" ht="17.25" thickBot="1">
      <c r="B5" s="1210" t="s">
        <v>237</v>
      </c>
      <c r="C5" s="1211"/>
      <c r="D5" s="1211"/>
      <c r="E5" s="1211"/>
      <c r="F5" s="1211"/>
      <c r="G5" s="1211"/>
      <c r="H5" s="1211"/>
      <c r="I5" s="1211"/>
      <c r="J5" s="1211"/>
      <c r="K5" s="1211"/>
      <c r="L5" s="1211"/>
      <c r="M5" s="1211"/>
    </row>
    <row r="6" spans="1:13" ht="19.5" customHeight="1">
      <c r="A6" s="1190" t="s">
        <v>201</v>
      </c>
      <c r="B6" s="1188" t="s">
        <v>202</v>
      </c>
      <c r="C6" s="1193"/>
      <c r="D6" s="1193"/>
      <c r="E6" s="1193"/>
      <c r="F6" s="1193"/>
      <c r="G6" s="1194"/>
      <c r="H6" s="1188" t="s">
        <v>405</v>
      </c>
      <c r="I6" s="1193"/>
      <c r="J6" s="1193"/>
      <c r="K6" s="1194"/>
      <c r="L6" s="1188" t="s">
        <v>203</v>
      </c>
      <c r="M6" s="1189"/>
    </row>
    <row r="7" spans="1:13" ht="19.5" customHeight="1">
      <c r="A7" s="1191"/>
      <c r="B7" s="1195" t="s">
        <v>206</v>
      </c>
      <c r="C7" s="1203" t="s">
        <v>209</v>
      </c>
      <c r="D7" s="1195" t="s">
        <v>676</v>
      </c>
      <c r="E7" s="1195" t="s">
        <v>208</v>
      </c>
      <c r="F7" s="1184" t="s">
        <v>204</v>
      </c>
      <c r="G7" s="1185"/>
      <c r="H7" s="1201" t="s">
        <v>366</v>
      </c>
      <c r="I7" s="1201" t="s">
        <v>367</v>
      </c>
      <c r="J7" s="1186" t="s">
        <v>369</v>
      </c>
      <c r="K7" s="1187"/>
      <c r="L7" s="1197" t="s">
        <v>207</v>
      </c>
      <c r="M7" s="1199" t="s">
        <v>205</v>
      </c>
    </row>
    <row r="8" spans="1:13" ht="34.5" customHeight="1">
      <c r="A8" s="1192"/>
      <c r="B8" s="1196"/>
      <c r="C8" s="1204"/>
      <c r="D8" s="1196"/>
      <c r="E8" s="1205"/>
      <c r="F8" s="98" t="s">
        <v>207</v>
      </c>
      <c r="G8" s="98" t="s">
        <v>205</v>
      </c>
      <c r="H8" s="1202"/>
      <c r="I8" s="1202"/>
      <c r="J8" s="224" t="s">
        <v>368</v>
      </c>
      <c r="K8" s="224" t="s">
        <v>205</v>
      </c>
      <c r="L8" s="1198"/>
      <c r="M8" s="1200"/>
    </row>
    <row r="9" spans="1:13" ht="15" customHeight="1">
      <c r="A9" s="249"/>
      <c r="B9" s="277"/>
      <c r="C9" s="278"/>
      <c r="D9" s="277"/>
      <c r="E9" s="279"/>
      <c r="F9" s="280"/>
      <c r="G9" s="280"/>
      <c r="H9" s="281"/>
      <c r="I9" s="281"/>
      <c r="J9" s="282"/>
      <c r="K9" s="282"/>
      <c r="L9" s="280"/>
      <c r="M9" s="250"/>
    </row>
    <row r="10" spans="1:13" s="294" customFormat="1" ht="28.5" customHeight="1">
      <c r="A10" s="299" t="s">
        <v>778</v>
      </c>
      <c r="B10" s="300">
        <f>B12+B13</f>
        <v>17495</v>
      </c>
      <c r="C10" s="301"/>
      <c r="D10" s="301"/>
      <c r="E10" s="301"/>
      <c r="F10" s="302">
        <f>F12+F13</f>
        <v>17495</v>
      </c>
      <c r="G10" s="303">
        <f>B10/F10*100</f>
        <v>100</v>
      </c>
      <c r="H10" s="304"/>
      <c r="I10" s="304"/>
      <c r="J10" s="304"/>
      <c r="K10" s="304"/>
      <c r="L10" s="302">
        <f>F10</f>
        <v>17495</v>
      </c>
      <c r="M10" s="311">
        <f>B10/F10*100</f>
        <v>100</v>
      </c>
    </row>
    <row r="11" spans="1:13" s="294" customFormat="1" ht="33" customHeight="1">
      <c r="A11" s="299" t="s">
        <v>779</v>
      </c>
      <c r="B11" s="300"/>
      <c r="C11" s="301"/>
      <c r="D11" s="301"/>
      <c r="E11" s="301"/>
      <c r="F11" s="302"/>
      <c r="G11" s="303"/>
      <c r="H11" s="304"/>
      <c r="I11" s="304"/>
      <c r="J11" s="304"/>
      <c r="K11" s="304"/>
      <c r="L11" s="302"/>
      <c r="M11" s="311"/>
    </row>
    <row r="12" spans="1:13" ht="33" hidden="1" customHeight="1">
      <c r="A12" s="101" t="s">
        <v>215</v>
      </c>
      <c r="B12" s="216">
        <f>'30.固定資產建改擴明細表'!H11</f>
        <v>0</v>
      </c>
      <c r="C12" s="217"/>
      <c r="D12" s="217"/>
      <c r="E12" s="217"/>
      <c r="F12" s="217">
        <f>SUM(B12:E12)</f>
        <v>0</v>
      </c>
      <c r="G12" s="219" t="e">
        <f>B12/F12*100</f>
        <v>#DIV/0!</v>
      </c>
      <c r="H12" s="215"/>
      <c r="I12" s="215"/>
      <c r="J12" s="215"/>
      <c r="K12" s="215"/>
      <c r="L12" s="217">
        <f>F12</f>
        <v>0</v>
      </c>
      <c r="M12" s="221" t="e">
        <f>B12/F12*100</f>
        <v>#DIV/0!</v>
      </c>
    </row>
    <row r="13" spans="1:13" ht="33" customHeight="1">
      <c r="A13" s="101" t="s">
        <v>127</v>
      </c>
      <c r="B13" s="216">
        <f>'30.固定資產建改擴明細表'!H13</f>
        <v>17495</v>
      </c>
      <c r="C13" s="217"/>
      <c r="D13" s="217"/>
      <c r="E13" s="217"/>
      <c r="F13" s="217">
        <f>SUM(B13:E13)</f>
        <v>17495</v>
      </c>
      <c r="G13" s="219">
        <f>B13/F13*100</f>
        <v>100</v>
      </c>
      <c r="H13" s="215"/>
      <c r="I13" s="215"/>
      <c r="J13" s="215"/>
      <c r="K13" s="215"/>
      <c r="L13" s="217">
        <f>F13</f>
        <v>17495</v>
      </c>
      <c r="M13" s="221">
        <f>B13/F13*100</f>
        <v>100</v>
      </c>
    </row>
    <row r="14" spans="1:13" ht="21.75" customHeight="1">
      <c r="A14" s="101"/>
      <c r="B14" s="218"/>
      <c r="C14" s="218"/>
      <c r="D14" s="218"/>
      <c r="E14" s="218"/>
      <c r="F14" s="218"/>
      <c r="G14" s="220"/>
      <c r="H14" s="215"/>
      <c r="I14" s="215"/>
      <c r="J14" s="215"/>
      <c r="K14" s="215"/>
      <c r="L14" s="218"/>
      <c r="M14" s="222"/>
    </row>
    <row r="15" spans="1:13">
      <c r="A15" s="101"/>
      <c r="B15" s="218"/>
      <c r="C15" s="218"/>
      <c r="D15" s="218"/>
      <c r="E15" s="218"/>
      <c r="F15" s="218"/>
      <c r="G15" s="220"/>
      <c r="H15" s="215"/>
      <c r="I15" s="215"/>
      <c r="J15" s="215"/>
      <c r="K15" s="215"/>
      <c r="L15" s="218"/>
      <c r="M15" s="222"/>
    </row>
    <row r="16" spans="1:13">
      <c r="A16" s="101"/>
      <c r="B16" s="218"/>
      <c r="C16" s="218"/>
      <c r="D16" s="218"/>
      <c r="E16" s="218"/>
      <c r="F16" s="218"/>
      <c r="G16" s="220"/>
      <c r="H16" s="215"/>
      <c r="I16" s="215"/>
      <c r="J16" s="215"/>
      <c r="K16" s="215"/>
      <c r="L16" s="218"/>
      <c r="M16" s="223"/>
    </row>
    <row r="17" spans="1:13">
      <c r="A17" s="101"/>
      <c r="B17" s="218"/>
      <c r="C17" s="218"/>
      <c r="D17" s="218"/>
      <c r="E17" s="218"/>
      <c r="F17" s="218"/>
      <c r="G17" s="220"/>
      <c r="H17" s="215"/>
      <c r="I17" s="215"/>
      <c r="J17" s="215"/>
      <c r="K17" s="215"/>
      <c r="L17" s="218"/>
      <c r="M17" s="223"/>
    </row>
    <row r="18" spans="1:13">
      <c r="A18" s="101"/>
      <c r="B18" s="218"/>
      <c r="C18" s="218"/>
      <c r="D18" s="218"/>
      <c r="E18" s="218"/>
      <c r="F18" s="218"/>
      <c r="G18" s="220"/>
      <c r="H18" s="215"/>
      <c r="I18" s="215"/>
      <c r="J18" s="215"/>
      <c r="K18" s="215"/>
      <c r="L18" s="218"/>
      <c r="M18" s="223"/>
    </row>
    <row r="19" spans="1:13">
      <c r="A19" s="101"/>
      <c r="B19" s="218"/>
      <c r="C19" s="218"/>
      <c r="D19" s="218"/>
      <c r="E19" s="218"/>
      <c r="F19" s="218"/>
      <c r="G19" s="220"/>
      <c r="H19" s="215"/>
      <c r="I19" s="215"/>
      <c r="J19" s="215"/>
      <c r="K19" s="215"/>
      <c r="L19" s="218"/>
      <c r="M19" s="223"/>
    </row>
    <row r="20" spans="1:13">
      <c r="A20" s="101"/>
      <c r="B20" s="218"/>
      <c r="C20" s="218"/>
      <c r="D20" s="218"/>
      <c r="E20" s="218"/>
      <c r="F20" s="218"/>
      <c r="G20" s="220"/>
      <c r="H20" s="215"/>
      <c r="I20" s="215"/>
      <c r="J20" s="215"/>
      <c r="K20" s="215"/>
      <c r="L20" s="218"/>
      <c r="M20" s="223"/>
    </row>
    <row r="21" spans="1:13">
      <c r="A21" s="101"/>
      <c r="B21" s="218"/>
      <c r="C21" s="218"/>
      <c r="D21" s="218"/>
      <c r="E21" s="218"/>
      <c r="F21" s="218"/>
      <c r="G21" s="220"/>
      <c r="H21" s="215"/>
      <c r="I21" s="215"/>
      <c r="J21" s="215"/>
      <c r="K21" s="215"/>
      <c r="L21" s="218"/>
      <c r="M21" s="223"/>
    </row>
    <row r="22" spans="1:13">
      <c r="A22" s="101"/>
      <c r="B22" s="218"/>
      <c r="C22" s="218"/>
      <c r="D22" s="218"/>
      <c r="E22" s="218"/>
      <c r="F22" s="218"/>
      <c r="G22" s="220"/>
      <c r="H22" s="215"/>
      <c r="I22" s="215"/>
      <c r="J22" s="215"/>
      <c r="K22" s="215"/>
      <c r="L22" s="218"/>
      <c r="M22" s="223"/>
    </row>
    <row r="23" spans="1:13">
      <c r="A23" s="101"/>
      <c r="B23" s="218"/>
      <c r="C23" s="218"/>
      <c r="D23" s="218"/>
      <c r="E23" s="218"/>
      <c r="F23" s="218"/>
      <c r="G23" s="220"/>
      <c r="H23" s="215"/>
      <c r="I23" s="215"/>
      <c r="J23" s="215"/>
      <c r="K23" s="215"/>
      <c r="L23" s="218"/>
      <c r="M23" s="223"/>
    </row>
    <row r="24" spans="1:13">
      <c r="A24" s="101"/>
      <c r="B24" s="218"/>
      <c r="C24" s="218"/>
      <c r="D24" s="218"/>
      <c r="E24" s="218"/>
      <c r="F24" s="218"/>
      <c r="G24" s="220"/>
      <c r="H24" s="215"/>
      <c r="I24" s="215"/>
      <c r="J24" s="215"/>
      <c r="K24" s="215"/>
      <c r="L24" s="218"/>
      <c r="M24" s="223"/>
    </row>
    <row r="25" spans="1:13">
      <c r="A25" s="101"/>
      <c r="B25" s="218"/>
      <c r="C25" s="218"/>
      <c r="D25" s="218"/>
      <c r="E25" s="218"/>
      <c r="F25" s="218"/>
      <c r="G25" s="220"/>
      <c r="H25" s="215"/>
      <c r="I25" s="215"/>
      <c r="J25" s="215"/>
      <c r="K25" s="215"/>
      <c r="L25" s="218"/>
      <c r="M25" s="223"/>
    </row>
    <row r="26" spans="1:13">
      <c r="A26" s="101"/>
      <c r="B26" s="218"/>
      <c r="C26" s="218"/>
      <c r="D26" s="218"/>
      <c r="E26" s="218"/>
      <c r="F26" s="218"/>
      <c r="G26" s="220"/>
      <c r="H26" s="215"/>
      <c r="I26" s="215"/>
      <c r="J26" s="215"/>
      <c r="K26" s="215"/>
      <c r="L26" s="218"/>
      <c r="M26" s="223"/>
    </row>
    <row r="27" spans="1:13">
      <c r="A27" s="101"/>
      <c r="B27" s="218"/>
      <c r="C27" s="218"/>
      <c r="D27" s="218"/>
      <c r="E27" s="218"/>
      <c r="F27" s="218"/>
      <c r="G27" s="220"/>
      <c r="H27" s="215"/>
      <c r="I27" s="215"/>
      <c r="J27" s="215"/>
      <c r="K27" s="215"/>
      <c r="L27" s="218"/>
      <c r="M27" s="223"/>
    </row>
    <row r="28" spans="1:13">
      <c r="A28" s="101"/>
      <c r="B28" s="218"/>
      <c r="C28" s="218"/>
      <c r="D28" s="218"/>
      <c r="E28" s="218"/>
      <c r="F28" s="218"/>
      <c r="G28" s="220"/>
      <c r="H28" s="215"/>
      <c r="I28" s="215"/>
      <c r="J28" s="215"/>
      <c r="K28" s="215"/>
      <c r="L28" s="218"/>
      <c r="M28" s="223"/>
    </row>
    <row r="29" spans="1:13">
      <c r="A29" s="101"/>
      <c r="B29" s="218"/>
      <c r="C29" s="218"/>
      <c r="D29" s="218"/>
      <c r="E29" s="218"/>
      <c r="F29" s="218"/>
      <c r="G29" s="220"/>
      <c r="H29" s="215"/>
      <c r="I29" s="215"/>
      <c r="J29" s="215"/>
      <c r="K29" s="215"/>
      <c r="L29" s="218"/>
      <c r="M29" s="223"/>
    </row>
    <row r="30" spans="1:13">
      <c r="A30" s="101"/>
      <c r="B30" s="218"/>
      <c r="C30" s="218"/>
      <c r="D30" s="218"/>
      <c r="E30" s="218"/>
      <c r="F30" s="218"/>
      <c r="G30" s="220"/>
      <c r="H30" s="215"/>
      <c r="I30" s="215"/>
      <c r="J30" s="215"/>
      <c r="K30" s="215"/>
      <c r="L30" s="218"/>
      <c r="M30" s="223"/>
    </row>
    <row r="31" spans="1:13">
      <c r="A31" s="101"/>
      <c r="B31" s="218"/>
      <c r="C31" s="218"/>
      <c r="D31" s="218"/>
      <c r="E31" s="218"/>
      <c r="F31" s="218"/>
      <c r="G31" s="220"/>
      <c r="H31" s="215"/>
      <c r="I31" s="215"/>
      <c r="J31" s="215"/>
      <c r="K31" s="215"/>
      <c r="L31" s="218"/>
      <c r="M31" s="223"/>
    </row>
    <row r="32" spans="1:13">
      <c r="A32" s="101"/>
      <c r="B32" s="218"/>
      <c r="C32" s="218"/>
      <c r="D32" s="218"/>
      <c r="E32" s="218"/>
      <c r="F32" s="218"/>
      <c r="G32" s="220"/>
      <c r="H32" s="215"/>
      <c r="I32" s="215"/>
      <c r="J32" s="215"/>
      <c r="K32" s="215"/>
      <c r="L32" s="218"/>
      <c r="M32" s="223"/>
    </row>
    <row r="33" spans="1:13">
      <c r="A33" s="101"/>
      <c r="B33" s="218"/>
      <c r="C33" s="218"/>
      <c r="D33" s="218"/>
      <c r="E33" s="218"/>
      <c r="F33" s="218"/>
      <c r="G33" s="220"/>
      <c r="H33" s="215"/>
      <c r="I33" s="215"/>
      <c r="J33" s="215"/>
      <c r="K33" s="215"/>
      <c r="L33" s="218"/>
      <c r="M33" s="223"/>
    </row>
    <row r="34" spans="1:13">
      <c r="A34" s="101"/>
      <c r="B34" s="218"/>
      <c r="C34" s="218"/>
      <c r="D34" s="218"/>
      <c r="E34" s="218"/>
      <c r="F34" s="218"/>
      <c r="G34" s="220"/>
      <c r="H34" s="215"/>
      <c r="I34" s="215"/>
      <c r="J34" s="215"/>
      <c r="K34" s="215"/>
      <c r="L34" s="218"/>
      <c r="M34" s="223"/>
    </row>
    <row r="35" spans="1:13">
      <c r="A35" s="101"/>
      <c r="B35" s="218"/>
      <c r="C35" s="218"/>
      <c r="D35" s="218"/>
      <c r="E35" s="218"/>
      <c r="F35" s="218"/>
      <c r="G35" s="220"/>
      <c r="H35" s="215"/>
      <c r="I35" s="215"/>
      <c r="J35" s="215"/>
      <c r="K35" s="215"/>
      <c r="L35" s="218"/>
      <c r="M35" s="223"/>
    </row>
    <row r="36" spans="1:13">
      <c r="A36" s="101"/>
      <c r="B36" s="218"/>
      <c r="C36" s="218"/>
      <c r="D36" s="218"/>
      <c r="E36" s="218"/>
      <c r="F36" s="218"/>
      <c r="G36" s="220"/>
      <c r="H36" s="215"/>
      <c r="I36" s="215"/>
      <c r="J36" s="215"/>
      <c r="K36" s="215"/>
      <c r="L36" s="218"/>
      <c r="M36" s="223"/>
    </row>
    <row r="37" spans="1:13">
      <c r="A37" s="101"/>
      <c r="B37" s="218"/>
      <c r="C37" s="218"/>
      <c r="D37" s="218"/>
      <c r="E37" s="218"/>
      <c r="F37" s="218"/>
      <c r="G37" s="220"/>
      <c r="H37" s="215"/>
      <c r="I37" s="215"/>
      <c r="J37" s="215"/>
      <c r="K37" s="215"/>
      <c r="L37" s="218"/>
      <c r="M37" s="223"/>
    </row>
    <row r="38" spans="1:13">
      <c r="A38" s="101"/>
      <c r="B38" s="218"/>
      <c r="C38" s="218"/>
      <c r="D38" s="218"/>
      <c r="E38" s="218"/>
      <c r="F38" s="218"/>
      <c r="G38" s="220"/>
      <c r="H38" s="215"/>
      <c r="I38" s="215"/>
      <c r="J38" s="215"/>
      <c r="K38" s="215"/>
      <c r="L38" s="218"/>
      <c r="M38" s="223"/>
    </row>
    <row r="39" spans="1:13">
      <c r="A39" s="101"/>
      <c r="B39" s="218"/>
      <c r="C39" s="218"/>
      <c r="D39" s="218"/>
      <c r="E39" s="218"/>
      <c r="F39" s="218"/>
      <c r="G39" s="220"/>
      <c r="H39" s="215"/>
      <c r="I39" s="215"/>
      <c r="J39" s="215"/>
      <c r="K39" s="215"/>
      <c r="L39" s="218"/>
      <c r="M39" s="223"/>
    </row>
    <row r="40" spans="1:13">
      <c r="A40" s="101"/>
      <c r="B40" s="218"/>
      <c r="C40" s="218"/>
      <c r="D40" s="218"/>
      <c r="E40" s="218"/>
      <c r="F40" s="218"/>
      <c r="G40" s="220"/>
      <c r="H40" s="215"/>
      <c r="I40" s="215"/>
      <c r="J40" s="215"/>
      <c r="K40" s="215"/>
      <c r="L40" s="218"/>
      <c r="M40" s="223"/>
    </row>
    <row r="41" spans="1:13">
      <c r="A41" s="101"/>
      <c r="B41" s="218"/>
      <c r="C41" s="218"/>
      <c r="D41" s="218"/>
      <c r="E41" s="218"/>
      <c r="F41" s="218"/>
      <c r="G41" s="220"/>
      <c r="H41" s="215"/>
      <c r="I41" s="215"/>
      <c r="J41" s="215"/>
      <c r="K41" s="215"/>
      <c r="L41" s="218"/>
      <c r="M41" s="223"/>
    </row>
    <row r="42" spans="1:13">
      <c r="A42" s="101"/>
      <c r="B42" s="218"/>
      <c r="C42" s="218"/>
      <c r="D42" s="218"/>
      <c r="E42" s="218"/>
      <c r="F42" s="218"/>
      <c r="G42" s="220"/>
      <c r="H42" s="215"/>
      <c r="I42" s="215"/>
      <c r="J42" s="215"/>
      <c r="K42" s="215"/>
      <c r="L42" s="218"/>
      <c r="M42" s="223"/>
    </row>
    <row r="43" spans="1:13" ht="28.5" customHeight="1">
      <c r="A43" s="101"/>
      <c r="B43" s="218"/>
      <c r="C43" s="218"/>
      <c r="D43" s="218"/>
      <c r="E43" s="218"/>
      <c r="F43" s="218"/>
      <c r="G43" s="220"/>
      <c r="H43" s="215"/>
      <c r="I43" s="215"/>
      <c r="J43" s="215"/>
      <c r="K43" s="215"/>
      <c r="L43" s="218"/>
      <c r="M43" s="223"/>
    </row>
    <row r="44" spans="1:13" s="298" customFormat="1" ht="40.9" customHeight="1" thickBot="1">
      <c r="A44" s="305" t="s">
        <v>193</v>
      </c>
      <c r="B44" s="306">
        <f>B10</f>
        <v>17495</v>
      </c>
      <c r="C44" s="307"/>
      <c r="D44" s="307"/>
      <c r="E44" s="307"/>
      <c r="F44" s="307">
        <f>F10</f>
        <v>17495</v>
      </c>
      <c r="G44" s="308">
        <f>G10</f>
        <v>100</v>
      </c>
      <c r="H44" s="309"/>
      <c r="I44" s="309"/>
      <c r="J44" s="309"/>
      <c r="K44" s="309"/>
      <c r="L44" s="307">
        <f>L10</f>
        <v>17495</v>
      </c>
      <c r="M44" s="310">
        <f>M10</f>
        <v>100</v>
      </c>
    </row>
  </sheetData>
  <mergeCells count="19">
    <mergeCell ref="A1:M1"/>
    <mergeCell ref="A2:M2"/>
    <mergeCell ref="A3:M3"/>
    <mergeCell ref="B5:M5"/>
    <mergeCell ref="A4:M4"/>
    <mergeCell ref="F7:G7"/>
    <mergeCell ref="J7:K7"/>
    <mergeCell ref="L6:M6"/>
    <mergeCell ref="A6:A8"/>
    <mergeCell ref="B6:G6"/>
    <mergeCell ref="H6:K6"/>
    <mergeCell ref="B7:B8"/>
    <mergeCell ref="L7:L8"/>
    <mergeCell ref="M7:M8"/>
    <mergeCell ref="D7:D8"/>
    <mergeCell ref="H7:H8"/>
    <mergeCell ref="I7:I8"/>
    <mergeCell ref="C7:C8"/>
    <mergeCell ref="E7:E8"/>
  </mergeCells>
  <phoneticPr fontId="14" type="noConversion"/>
  <printOptions horizontalCentered="1"/>
  <pageMargins left="0.6692913385826772" right="0.6692913385826772" top="0.59055118110236227" bottom="0.78740157480314965" header="0.51181102362204722" footer="0.51181102362204722"/>
  <pageSetup paperSize="9" scale="92" firstPageNumber="29" orientation="portrait" useFirstPageNumber="1" r:id="rId1"/>
  <headerFooter scaleWithDoc="0" alignWithMargins="0">
    <oddFooter>&amp;C&amp;"Arial Unicode MS,標準"&amp;P</oddFooter>
  </headerFooter>
</worksheet>
</file>

<file path=xl/worksheets/sheet26.xml><?xml version="1.0" encoding="utf-8"?>
<worksheet xmlns="http://schemas.openxmlformats.org/spreadsheetml/2006/main" xmlns:r="http://schemas.openxmlformats.org/officeDocument/2006/relationships">
  <sheetPr codeName="Sheet28">
    <tabColor rgb="FFFFFFCC"/>
  </sheetPr>
  <dimension ref="A1:X29"/>
  <sheetViews>
    <sheetView view="pageBreakPreview" topLeftCell="A2" zoomScaleNormal="100" workbookViewId="0">
      <selection activeCell="J13" sqref="J13"/>
    </sheetView>
  </sheetViews>
  <sheetFormatPr defaultRowHeight="16.5"/>
  <cols>
    <col min="1" max="1" width="20.5" customWidth="1"/>
    <col min="2" max="3" width="10.625" customWidth="1"/>
    <col min="4" max="4" width="10" customWidth="1"/>
    <col min="5" max="5" width="11.75" customWidth="1"/>
    <col min="6" max="6" width="7.875" customWidth="1"/>
    <col min="8" max="8" width="11.875" customWidth="1"/>
    <col min="9" max="9" width="0.375" customWidth="1"/>
    <col min="10" max="10" width="16.5" customWidth="1"/>
    <col min="11" max="11" width="10.875" customWidth="1"/>
    <col min="12" max="12" width="10.25" customWidth="1"/>
    <col min="13" max="13" width="9.375" customWidth="1"/>
    <col min="14" max="17" width="11.375" customWidth="1"/>
  </cols>
  <sheetData>
    <row r="1" spans="1:24" s="118" customFormat="1" ht="25.5">
      <c r="A1" s="1223" t="s">
        <v>375</v>
      </c>
      <c r="B1" s="1224"/>
      <c r="C1" s="1224"/>
      <c r="D1" s="1224"/>
      <c r="E1" s="1224"/>
      <c r="F1" s="1224"/>
      <c r="G1" s="1224"/>
      <c r="H1" s="1224"/>
      <c r="I1" s="213"/>
      <c r="J1" s="1225" t="s">
        <v>376</v>
      </c>
      <c r="K1" s="1226"/>
      <c r="L1" s="1226"/>
      <c r="M1" s="1226"/>
      <c r="N1" s="1226"/>
      <c r="O1" s="1226"/>
      <c r="P1" s="1226"/>
      <c r="Q1" s="1226"/>
    </row>
    <row r="2" spans="1:24" s="127" customFormat="1" ht="21">
      <c r="A2" s="1233" t="s">
        <v>374</v>
      </c>
      <c r="B2" s="1234"/>
      <c r="C2" s="1234"/>
      <c r="D2" s="1234"/>
      <c r="E2" s="1234"/>
      <c r="F2" s="1234"/>
      <c r="G2" s="1234"/>
      <c r="H2" s="1234"/>
      <c r="I2" s="212"/>
      <c r="J2" s="1227" t="s">
        <v>377</v>
      </c>
      <c r="K2" s="1228"/>
      <c r="L2" s="1228"/>
      <c r="M2" s="1228"/>
      <c r="N2" s="1228"/>
      <c r="O2" s="1228"/>
      <c r="P2" s="1228"/>
      <c r="Q2" s="1228"/>
    </row>
    <row r="3" spans="1:24" s="127" customFormat="1" ht="21">
      <c r="A3" s="1217" t="s">
        <v>373</v>
      </c>
      <c r="B3" s="1218"/>
      <c r="C3" s="1218"/>
      <c r="D3" s="1218"/>
      <c r="E3" s="1218"/>
      <c r="F3" s="1218"/>
      <c r="G3" s="1218"/>
      <c r="H3" s="1218"/>
      <c r="I3" s="212"/>
      <c r="J3" s="1219" t="s">
        <v>378</v>
      </c>
      <c r="K3" s="1220"/>
      <c r="L3" s="1220"/>
      <c r="M3" s="1220"/>
      <c r="N3" s="1220"/>
      <c r="O3" s="1220"/>
      <c r="P3" s="1220"/>
      <c r="Q3" s="1220"/>
    </row>
    <row r="4" spans="1:24" s="128" customFormat="1" ht="19.5">
      <c r="A4" s="1222" t="s">
        <v>372</v>
      </c>
      <c r="B4" s="1222"/>
      <c r="C4" s="1222"/>
      <c r="D4" s="1222"/>
      <c r="E4" s="1222"/>
      <c r="F4" s="1222"/>
      <c r="G4" s="1222"/>
      <c r="H4" s="1222"/>
      <c r="I4" s="211"/>
      <c r="J4" s="1221" t="s">
        <v>1085</v>
      </c>
      <c r="K4" s="1221"/>
      <c r="L4" s="1221"/>
      <c r="M4" s="1221"/>
      <c r="N4" s="1221"/>
      <c r="O4" s="1221"/>
      <c r="P4" s="1221"/>
      <c r="Q4" s="1221"/>
    </row>
    <row r="5" spans="1:24" s="1" customFormat="1" ht="17.25" thickBot="1">
      <c r="B5" s="37"/>
      <c r="C5" s="37"/>
      <c r="H5" s="1171"/>
      <c r="I5" s="1171"/>
      <c r="J5" s="1171"/>
      <c r="O5" s="1229" t="s">
        <v>164</v>
      </c>
      <c r="P5" s="1229"/>
      <c r="Q5" s="1229"/>
    </row>
    <row r="6" spans="1:24">
      <c r="A6" s="1190" t="s">
        <v>238</v>
      </c>
      <c r="B6" s="1188" t="s">
        <v>239</v>
      </c>
      <c r="C6" s="1193"/>
      <c r="D6" s="1193"/>
      <c r="E6" s="1193"/>
      <c r="F6" s="1193"/>
      <c r="G6" s="1193"/>
      <c r="H6" s="1193"/>
      <c r="I6" s="1193"/>
      <c r="J6" s="1193"/>
      <c r="K6" s="1193"/>
      <c r="L6" s="1193"/>
      <c r="M6" s="1194"/>
      <c r="N6" s="1188" t="s">
        <v>240</v>
      </c>
      <c r="O6" s="1193"/>
      <c r="P6" s="1193"/>
      <c r="Q6" s="1189"/>
    </row>
    <row r="7" spans="1:24" ht="16.149999999999999" customHeight="1">
      <c r="A7" s="1191"/>
      <c r="B7" s="1197" t="s">
        <v>1003</v>
      </c>
      <c r="C7" s="1214" t="s">
        <v>1002</v>
      </c>
      <c r="D7" s="1214"/>
      <c r="E7" s="1214"/>
      <c r="F7" s="1214"/>
      <c r="G7" s="1215"/>
      <c r="H7" s="1197" t="s">
        <v>210</v>
      </c>
      <c r="I7" s="109"/>
      <c r="J7" s="1197" t="s">
        <v>241</v>
      </c>
      <c r="K7" s="1197" t="s">
        <v>242</v>
      </c>
      <c r="L7" s="1197" t="s">
        <v>243</v>
      </c>
      <c r="M7" s="1197" t="s">
        <v>244</v>
      </c>
      <c r="N7" s="1232" t="s">
        <v>199</v>
      </c>
      <c r="O7" s="1231"/>
      <c r="P7" s="1184" t="s">
        <v>211</v>
      </c>
      <c r="Q7" s="1238"/>
    </row>
    <row r="8" spans="1:24">
      <c r="A8" s="1191"/>
      <c r="B8" s="1216"/>
      <c r="C8" s="1230" t="s">
        <v>245</v>
      </c>
      <c r="D8" s="1230"/>
      <c r="E8" s="1230"/>
      <c r="F8" s="1231"/>
      <c r="G8" s="1197" t="s">
        <v>213</v>
      </c>
      <c r="H8" s="1216"/>
      <c r="I8" s="108"/>
      <c r="J8" s="1213"/>
      <c r="K8" s="1213"/>
      <c r="L8" s="1213"/>
      <c r="M8" s="1213"/>
      <c r="N8" s="1197" t="s">
        <v>176</v>
      </c>
      <c r="O8" s="1197" t="s">
        <v>246</v>
      </c>
      <c r="P8" s="1197" t="s">
        <v>176</v>
      </c>
      <c r="Q8" s="1199" t="s">
        <v>246</v>
      </c>
    </row>
    <row r="9" spans="1:24" ht="33">
      <c r="A9" s="1192"/>
      <c r="B9" s="1198"/>
      <c r="C9" s="98" t="s">
        <v>166</v>
      </c>
      <c r="D9" s="99" t="s">
        <v>247</v>
      </c>
      <c r="E9" s="99" t="s">
        <v>214</v>
      </c>
      <c r="F9" s="99" t="s">
        <v>167</v>
      </c>
      <c r="G9" s="1198"/>
      <c r="H9" s="1198"/>
      <c r="I9" s="110"/>
      <c r="J9" s="1196"/>
      <c r="K9" s="1196"/>
      <c r="L9" s="1196"/>
      <c r="M9" s="1196"/>
      <c r="N9" s="1198"/>
      <c r="O9" s="1196"/>
      <c r="P9" s="1198"/>
      <c r="Q9" s="1237" t="s">
        <v>212</v>
      </c>
    </row>
    <row r="10" spans="1:24" s="320" customFormat="1" ht="33" customHeight="1">
      <c r="A10" s="312" t="s">
        <v>126</v>
      </c>
      <c r="B10" s="313">
        <f>SUM(B11:B12)</f>
        <v>17495</v>
      </c>
      <c r="C10" s="313">
        <f>SUM(C11:C12)</f>
        <v>17495</v>
      </c>
      <c r="D10" s="337">
        <f>SUM(D11:D12)</f>
        <v>0</v>
      </c>
      <c r="E10" s="313">
        <f>SUM(E11:E12)</f>
        <v>0</v>
      </c>
      <c r="F10" s="313">
        <f>SUM(F11:F12)</f>
        <v>0</v>
      </c>
      <c r="G10" s="313">
        <v>0</v>
      </c>
      <c r="H10" s="314"/>
      <c r="I10" s="315"/>
      <c r="J10" s="316"/>
      <c r="K10" s="317"/>
      <c r="L10" s="317"/>
      <c r="M10" s="317"/>
      <c r="N10" s="313">
        <f>SUM(N11:N12)</f>
        <v>17495</v>
      </c>
      <c r="O10" s="318">
        <f>N10/B10*100</f>
        <v>100</v>
      </c>
      <c r="P10" s="313">
        <f>SUM(P11:P12)</f>
        <v>17495</v>
      </c>
      <c r="Q10" s="319">
        <f>P10/B10*100</f>
        <v>100</v>
      </c>
      <c r="R10" s="1235" t="s">
        <v>607</v>
      </c>
      <c r="S10" s="1236"/>
      <c r="T10" s="1236"/>
      <c r="U10" s="1236"/>
      <c r="V10" s="1236"/>
      <c r="W10" s="1236"/>
      <c r="X10" s="1236"/>
    </row>
    <row r="11" spans="1:24" s="192" customFormat="1" ht="33" hidden="1" customHeight="1">
      <c r="A11" s="101" t="s">
        <v>215</v>
      </c>
      <c r="B11" s="388">
        <v>0</v>
      </c>
      <c r="C11" s="388">
        <f>B11-E11</f>
        <v>0</v>
      </c>
      <c r="D11" s="338">
        <v>0</v>
      </c>
      <c r="E11" s="130">
        <v>0</v>
      </c>
      <c r="F11" s="338">
        <v>0</v>
      </c>
      <c r="G11" s="313">
        <v>0</v>
      </c>
      <c r="H11" s="105"/>
      <c r="I11" s="96"/>
      <c r="J11" s="106"/>
      <c r="K11" s="92"/>
      <c r="L11" s="92"/>
      <c r="M11" s="92"/>
      <c r="N11" s="131">
        <f>'30.固定資產建改擴明細表'!H11</f>
        <v>0</v>
      </c>
      <c r="O11" s="100" t="e">
        <f>N11/B11*100</f>
        <v>#DIV/0!</v>
      </c>
      <c r="P11" s="388">
        <v>0</v>
      </c>
      <c r="Q11" s="197" t="e">
        <f>P11/B11*100</f>
        <v>#DIV/0!</v>
      </c>
      <c r="R11" s="1236"/>
      <c r="S11" s="1236"/>
      <c r="T11" s="1236"/>
      <c r="U11" s="1236"/>
      <c r="V11" s="1236"/>
      <c r="W11" s="1236"/>
      <c r="X11" s="1236"/>
    </row>
    <row r="12" spans="1:24" s="192" customFormat="1" ht="33" customHeight="1">
      <c r="A12" s="103" t="s">
        <v>370</v>
      </c>
      <c r="B12" s="131">
        <f>SUM(C12:F12)</f>
        <v>17495</v>
      </c>
      <c r="C12" s="131">
        <f>'31.固定資產資金來源明細表'!B13</f>
        <v>17495</v>
      </c>
      <c r="D12" s="338">
        <v>0</v>
      </c>
      <c r="E12" s="338">
        <v>0</v>
      </c>
      <c r="F12" s="338">
        <v>0</v>
      </c>
      <c r="G12" s="313">
        <v>0</v>
      </c>
      <c r="H12" s="105"/>
      <c r="I12" s="96"/>
      <c r="J12" s="106" t="s">
        <v>1086</v>
      </c>
      <c r="K12" s="92"/>
      <c r="L12" s="92"/>
      <c r="M12" s="92"/>
      <c r="N12" s="131">
        <f>'30.固定資產建改擴明細表'!H13</f>
        <v>17495</v>
      </c>
      <c r="O12" s="100">
        <f>N12/B12*100</f>
        <v>100</v>
      </c>
      <c r="P12" s="131">
        <f>N12</f>
        <v>17495</v>
      </c>
      <c r="Q12" s="197">
        <f>P12/B12*100</f>
        <v>100</v>
      </c>
      <c r="R12" s="1236"/>
      <c r="S12" s="1236"/>
      <c r="T12" s="1236"/>
      <c r="U12" s="1236"/>
      <c r="V12" s="1236"/>
      <c r="W12" s="1236"/>
      <c r="X12" s="1236"/>
    </row>
    <row r="13" spans="1:24" s="192" customFormat="1" ht="33" customHeight="1">
      <c r="A13" s="101"/>
      <c r="B13" s="92"/>
      <c r="C13" s="92"/>
      <c r="D13" s="92"/>
      <c r="E13" s="92"/>
      <c r="F13" s="92"/>
      <c r="G13" s="92"/>
      <c r="H13" s="105"/>
      <c r="I13" s="96"/>
      <c r="J13" s="105"/>
      <c r="K13" s="92"/>
      <c r="L13" s="92"/>
      <c r="M13" s="92"/>
      <c r="N13" s="92"/>
      <c r="O13" s="92"/>
      <c r="P13" s="92"/>
      <c r="Q13" s="94"/>
      <c r="R13" s="1236"/>
      <c r="S13" s="1236"/>
      <c r="T13" s="1236"/>
      <c r="U13" s="1236"/>
      <c r="V13" s="1236"/>
      <c r="W13" s="1236"/>
      <c r="X13" s="1236"/>
    </row>
    <row r="14" spans="1:24" s="192" customFormat="1" ht="33" customHeight="1">
      <c r="A14" s="101"/>
      <c r="B14" s="92"/>
      <c r="C14" s="92"/>
      <c r="D14" s="92"/>
      <c r="E14" s="92"/>
      <c r="F14" s="92"/>
      <c r="G14" s="92"/>
      <c r="H14" s="105"/>
      <c r="I14" s="96"/>
      <c r="J14" s="105"/>
      <c r="K14" s="92"/>
      <c r="L14" s="92"/>
      <c r="M14" s="92"/>
      <c r="N14" s="92"/>
      <c r="O14" s="92"/>
      <c r="P14" s="92"/>
      <c r="Q14" s="94"/>
      <c r="R14" s="1236"/>
      <c r="S14" s="1236"/>
      <c r="T14" s="1236"/>
      <c r="U14" s="1236"/>
      <c r="V14" s="1236"/>
      <c r="W14" s="1236"/>
      <c r="X14" s="1236"/>
    </row>
    <row r="15" spans="1:24" s="192" customFormat="1" ht="33" customHeight="1">
      <c r="A15" s="101"/>
      <c r="B15" s="92"/>
      <c r="C15" s="92"/>
      <c r="D15" s="92"/>
      <c r="E15" s="92"/>
      <c r="F15" s="92"/>
      <c r="G15" s="92"/>
      <c r="H15" s="105"/>
      <c r="I15" s="96"/>
      <c r="J15" s="105"/>
      <c r="K15" s="92"/>
      <c r="L15" s="92"/>
      <c r="M15" s="92"/>
      <c r="N15" s="92"/>
      <c r="O15" s="92"/>
      <c r="P15" s="92"/>
      <c r="Q15" s="94"/>
      <c r="R15" s="1236"/>
      <c r="S15" s="1236"/>
      <c r="T15" s="1236"/>
      <c r="U15" s="1236"/>
      <c r="V15" s="1236"/>
      <c r="W15" s="1236"/>
      <c r="X15" s="1236"/>
    </row>
    <row r="16" spans="1:24" s="192" customFormat="1" ht="33" customHeight="1">
      <c r="A16" s="101"/>
      <c r="B16" s="92"/>
      <c r="C16" s="92"/>
      <c r="D16" s="92"/>
      <c r="E16" s="92"/>
      <c r="F16" s="92"/>
      <c r="G16" s="92"/>
      <c r="H16" s="105"/>
      <c r="I16" s="96"/>
      <c r="J16" s="105"/>
      <c r="K16" s="92"/>
      <c r="L16" s="92"/>
      <c r="M16" s="92"/>
      <c r="N16" s="92"/>
      <c r="O16" s="92"/>
      <c r="P16" s="92"/>
      <c r="Q16" s="94"/>
      <c r="R16" s="1236"/>
      <c r="S16" s="1236"/>
      <c r="T16" s="1236"/>
      <c r="U16" s="1236"/>
      <c r="V16" s="1236"/>
      <c r="W16" s="1236"/>
      <c r="X16" s="1236"/>
    </row>
    <row r="17" spans="1:24" s="192" customFormat="1" ht="33" customHeight="1">
      <c r="A17" s="101"/>
      <c r="B17" s="92"/>
      <c r="C17" s="92"/>
      <c r="D17" s="92"/>
      <c r="E17" s="92"/>
      <c r="F17" s="92"/>
      <c r="G17" s="92"/>
      <c r="H17" s="105"/>
      <c r="I17" s="96"/>
      <c r="J17" s="105"/>
      <c r="K17" s="92"/>
      <c r="L17" s="92"/>
      <c r="M17" s="92"/>
      <c r="N17" s="92"/>
      <c r="O17" s="92"/>
      <c r="P17" s="92"/>
      <c r="Q17" s="94"/>
      <c r="R17" s="1236"/>
      <c r="S17" s="1236"/>
      <c r="T17" s="1236"/>
      <c r="U17" s="1236"/>
      <c r="V17" s="1236"/>
      <c r="W17" s="1236"/>
      <c r="X17" s="1236"/>
    </row>
    <row r="18" spans="1:24" s="192" customFormat="1" ht="33" customHeight="1">
      <c r="A18" s="101"/>
      <c r="B18" s="92"/>
      <c r="C18" s="92"/>
      <c r="D18" s="92"/>
      <c r="E18" s="92"/>
      <c r="F18" s="92"/>
      <c r="G18" s="92"/>
      <c r="H18" s="105"/>
      <c r="I18" s="96"/>
      <c r="J18" s="105"/>
      <c r="K18" s="92"/>
      <c r="L18" s="92"/>
      <c r="M18" s="92"/>
      <c r="N18" s="92"/>
      <c r="O18" s="92"/>
      <c r="P18" s="92"/>
      <c r="Q18" s="94"/>
      <c r="R18" s="1236"/>
      <c r="S18" s="1236"/>
      <c r="T18" s="1236"/>
      <c r="U18" s="1236"/>
      <c r="V18" s="1236"/>
      <c r="W18" s="1236"/>
      <c r="X18" s="1236"/>
    </row>
    <row r="19" spans="1:24" s="192" customFormat="1" ht="33" customHeight="1">
      <c r="A19" s="101"/>
      <c r="B19" s="92"/>
      <c r="C19" s="92"/>
      <c r="D19" s="92"/>
      <c r="E19" s="92"/>
      <c r="F19" s="92"/>
      <c r="G19" s="92"/>
      <c r="H19" s="105"/>
      <c r="I19" s="96"/>
      <c r="J19" s="105"/>
      <c r="K19" s="92"/>
      <c r="L19" s="92"/>
      <c r="M19" s="92"/>
      <c r="N19" s="92"/>
      <c r="O19" s="92"/>
      <c r="P19" s="92"/>
      <c r="Q19" s="94"/>
    </row>
    <row r="20" spans="1:24" s="192" customFormat="1" ht="33" customHeight="1">
      <c r="A20" s="101"/>
      <c r="B20" s="92"/>
      <c r="C20" s="92"/>
      <c r="D20" s="92"/>
      <c r="E20" s="92"/>
      <c r="F20" s="92"/>
      <c r="G20" s="92"/>
      <c r="H20" s="105"/>
      <c r="I20" s="96"/>
      <c r="J20" s="105"/>
      <c r="K20" s="92"/>
      <c r="L20" s="92"/>
      <c r="M20" s="92"/>
      <c r="N20" s="92"/>
      <c r="O20" s="92"/>
      <c r="P20" s="92"/>
      <c r="Q20" s="94"/>
    </row>
    <row r="21" spans="1:24" s="192" customFormat="1" ht="33" customHeight="1">
      <c r="A21" s="101"/>
      <c r="B21" s="92"/>
      <c r="C21" s="92"/>
      <c r="D21" s="92"/>
      <c r="E21" s="92"/>
      <c r="F21" s="92"/>
      <c r="G21" s="92"/>
      <c r="H21" s="105"/>
      <c r="I21" s="96"/>
      <c r="J21" s="105"/>
      <c r="K21" s="92"/>
      <c r="L21" s="92"/>
      <c r="M21" s="92"/>
      <c r="N21" s="92"/>
      <c r="O21" s="92"/>
      <c r="P21" s="92"/>
      <c r="Q21" s="94"/>
    </row>
    <row r="22" spans="1:24" s="192" customFormat="1" ht="33" hidden="1" customHeight="1">
      <c r="A22" s="101"/>
      <c r="B22" s="92"/>
      <c r="C22" s="92"/>
      <c r="D22" s="92"/>
      <c r="E22" s="92"/>
      <c r="F22" s="92"/>
      <c r="G22" s="92"/>
      <c r="H22" s="105"/>
      <c r="I22" s="96"/>
      <c r="J22" s="105"/>
      <c r="K22" s="92"/>
      <c r="L22" s="92"/>
      <c r="M22" s="92"/>
      <c r="N22" s="92"/>
      <c r="O22" s="92"/>
      <c r="P22" s="92"/>
      <c r="Q22" s="94"/>
    </row>
    <row r="23" spans="1:24" s="192" customFormat="1" ht="33" customHeight="1">
      <c r="A23" s="101"/>
      <c r="B23" s="92"/>
      <c r="C23" s="92"/>
      <c r="D23" s="92"/>
      <c r="E23" s="92"/>
      <c r="F23" s="92"/>
      <c r="G23" s="92"/>
      <c r="H23" s="105"/>
      <c r="I23" s="96"/>
      <c r="J23" s="105"/>
      <c r="K23" s="92"/>
      <c r="L23" s="92"/>
      <c r="M23" s="92"/>
      <c r="N23" s="92"/>
      <c r="O23" s="92"/>
      <c r="P23" s="92"/>
      <c r="Q23" s="94"/>
    </row>
    <row r="24" spans="1:24" s="192" customFormat="1" ht="33" customHeight="1">
      <c r="A24" s="101"/>
      <c r="B24" s="92"/>
      <c r="C24" s="92"/>
      <c r="D24" s="92"/>
      <c r="E24" s="92"/>
      <c r="F24" s="92"/>
      <c r="G24" s="92"/>
      <c r="H24" s="105"/>
      <c r="I24" s="96"/>
      <c r="J24" s="105"/>
      <c r="K24" s="92"/>
      <c r="L24" s="92"/>
      <c r="M24" s="92"/>
      <c r="N24" s="92"/>
      <c r="O24" s="92"/>
      <c r="P24" s="92"/>
      <c r="Q24" s="94"/>
    </row>
    <row r="25" spans="1:24" s="192" customFormat="1" ht="33" customHeight="1">
      <c r="A25" s="101"/>
      <c r="B25" s="92"/>
      <c r="C25" s="92"/>
      <c r="D25" s="92"/>
      <c r="E25" s="92"/>
      <c r="F25" s="92"/>
      <c r="G25" s="92"/>
      <c r="H25" s="105"/>
      <c r="I25" s="96"/>
      <c r="J25" s="105"/>
      <c r="K25" s="92"/>
      <c r="L25" s="92"/>
      <c r="M25" s="92"/>
      <c r="N25" s="92"/>
      <c r="O25" s="92"/>
      <c r="P25" s="92"/>
      <c r="Q25" s="94"/>
    </row>
    <row r="26" spans="1:24" s="192" customFormat="1" ht="33" customHeight="1">
      <c r="A26" s="101"/>
      <c r="B26" s="92"/>
      <c r="C26" s="92"/>
      <c r="D26" s="92"/>
      <c r="E26" s="92"/>
      <c r="F26" s="92"/>
      <c r="G26" s="92"/>
      <c r="H26" s="105"/>
      <c r="I26" s="96"/>
      <c r="J26" s="105"/>
      <c r="K26" s="92"/>
      <c r="L26" s="92"/>
      <c r="M26" s="92"/>
      <c r="N26" s="92"/>
      <c r="O26" s="92"/>
      <c r="P26" s="92"/>
      <c r="Q26" s="94"/>
    </row>
    <row r="27" spans="1:24" s="192" customFormat="1" ht="33" customHeight="1">
      <c r="A27" s="101"/>
      <c r="B27" s="92"/>
      <c r="C27" s="92"/>
      <c r="D27" s="92"/>
      <c r="E27" s="92"/>
      <c r="F27" s="92"/>
      <c r="G27" s="92"/>
      <c r="H27" s="105"/>
      <c r="I27" s="96"/>
      <c r="J27" s="105"/>
      <c r="K27" s="92"/>
      <c r="L27" s="92"/>
      <c r="M27" s="92"/>
      <c r="N27" s="92"/>
      <c r="O27" s="92"/>
      <c r="P27" s="92"/>
      <c r="Q27" s="94"/>
    </row>
    <row r="28" spans="1:24" s="192" customFormat="1" ht="33" customHeight="1">
      <c r="A28" s="101"/>
      <c r="B28" s="92"/>
      <c r="C28" s="92"/>
      <c r="D28" s="92"/>
      <c r="E28" s="92"/>
      <c r="F28" s="92"/>
      <c r="G28" s="92"/>
      <c r="H28" s="105"/>
      <c r="I28" s="96"/>
      <c r="J28" s="105"/>
      <c r="K28" s="92"/>
      <c r="L28" s="92"/>
      <c r="M28" s="92"/>
      <c r="N28" s="92"/>
      <c r="O28" s="92"/>
      <c r="P28" s="92"/>
      <c r="Q28" s="94"/>
    </row>
    <row r="29" spans="1:24" s="192" customFormat="1" ht="61.9" customHeight="1" thickBot="1">
      <c r="A29" s="104" t="s">
        <v>371</v>
      </c>
      <c r="B29" s="102"/>
      <c r="C29" s="102"/>
      <c r="D29" s="102"/>
      <c r="E29" s="102"/>
      <c r="F29" s="102"/>
      <c r="G29" s="102"/>
      <c r="H29" s="107"/>
      <c r="I29" s="97"/>
      <c r="J29" s="107"/>
      <c r="K29" s="102"/>
      <c r="L29" s="102"/>
      <c r="M29" s="102"/>
      <c r="N29" s="102"/>
      <c r="O29" s="102"/>
      <c r="P29" s="102"/>
      <c r="Q29" s="93"/>
    </row>
  </sheetData>
  <mergeCells count="29">
    <mergeCell ref="R10:X18"/>
    <mergeCell ref="O8:O9"/>
    <mergeCell ref="Q8:Q9"/>
    <mergeCell ref="P8:P9"/>
    <mergeCell ref="P7:Q7"/>
    <mergeCell ref="A1:H1"/>
    <mergeCell ref="A6:A9"/>
    <mergeCell ref="B6:M6"/>
    <mergeCell ref="J1:Q1"/>
    <mergeCell ref="J2:Q2"/>
    <mergeCell ref="N6:Q6"/>
    <mergeCell ref="G8:G9"/>
    <mergeCell ref="O5:Q5"/>
    <mergeCell ref="L7:L9"/>
    <mergeCell ref="C8:F8"/>
    <mergeCell ref="N7:O7"/>
    <mergeCell ref="H7:H9"/>
    <mergeCell ref="M7:M9"/>
    <mergeCell ref="N8:N9"/>
    <mergeCell ref="J7:J9"/>
    <mergeCell ref="A2:H2"/>
    <mergeCell ref="K7:K9"/>
    <mergeCell ref="C7:G7"/>
    <mergeCell ref="B7:B9"/>
    <mergeCell ref="H5:J5"/>
    <mergeCell ref="A3:H3"/>
    <mergeCell ref="J3:Q3"/>
    <mergeCell ref="J4:Q4"/>
    <mergeCell ref="A4:H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scaleWithDoc="0" alignWithMargins="0">
    <oddFooter>&amp;C&amp;"Arial Unicode MS,標準"&amp;P</oddFooter>
  </headerFooter>
</worksheet>
</file>

<file path=xl/worksheets/sheet27.xml><?xml version="1.0" encoding="utf-8"?>
<worksheet xmlns="http://schemas.openxmlformats.org/spreadsheetml/2006/main" xmlns:r="http://schemas.openxmlformats.org/officeDocument/2006/relationships">
  <sheetPr codeName="Sheet30">
    <tabColor rgb="FFFFFFCC"/>
  </sheetPr>
  <dimension ref="A1:I29"/>
  <sheetViews>
    <sheetView workbookViewId="0">
      <selection activeCell="F17" sqref="F17"/>
    </sheetView>
  </sheetViews>
  <sheetFormatPr defaultColWidth="9" defaultRowHeight="16.5"/>
  <cols>
    <col min="1" max="1" width="27.625" style="482" customWidth="1"/>
    <col min="2" max="3" width="6.625" style="482" customWidth="1"/>
    <col min="4" max="4" width="10.625" style="482" customWidth="1"/>
    <col min="5" max="5" width="9.5" style="482" customWidth="1"/>
    <col min="6" max="6" width="10.125" style="482" customWidth="1"/>
    <col min="7" max="7" width="7.625" style="482" customWidth="1"/>
    <col min="8" max="8" width="6" style="482" customWidth="1"/>
    <col min="9" max="9" width="10.875" style="482" customWidth="1"/>
    <col min="10" max="16384" width="9" style="482"/>
  </cols>
  <sheetData>
    <row r="1" spans="1:9" s="517" customFormat="1" ht="25.5">
      <c r="A1" s="974" t="s">
        <v>220</v>
      </c>
      <c r="B1" s="974"/>
      <c r="C1" s="974"/>
      <c r="D1" s="974"/>
      <c r="E1" s="974"/>
      <c r="F1" s="974"/>
      <c r="G1" s="974"/>
      <c r="H1" s="974"/>
      <c r="I1" s="974"/>
    </row>
    <row r="2" spans="1:9" s="518" customFormat="1" ht="21">
      <c r="A2" s="1001" t="s">
        <v>76</v>
      </c>
      <c r="B2" s="1001"/>
      <c r="C2" s="1001"/>
      <c r="D2" s="1001"/>
      <c r="E2" s="1001"/>
      <c r="F2" s="1001"/>
      <c r="G2" s="1001"/>
      <c r="H2" s="1001"/>
      <c r="I2" s="1001"/>
    </row>
    <row r="3" spans="1:9" s="518" customFormat="1" ht="21">
      <c r="A3" s="975" t="s">
        <v>153</v>
      </c>
      <c r="B3" s="975"/>
      <c r="C3" s="975"/>
      <c r="D3" s="975"/>
      <c r="E3" s="975"/>
      <c r="F3" s="975"/>
      <c r="G3" s="975"/>
      <c r="H3" s="975"/>
      <c r="I3" s="975"/>
    </row>
    <row r="4" spans="1:9" s="519" customFormat="1" ht="19.5">
      <c r="A4" s="976" t="s">
        <v>1058</v>
      </c>
      <c r="B4" s="976"/>
      <c r="C4" s="976"/>
      <c r="D4" s="976"/>
      <c r="E4" s="976"/>
      <c r="F4" s="976"/>
      <c r="G4" s="976"/>
      <c r="H4" s="976"/>
      <c r="I4" s="976"/>
    </row>
    <row r="5" spans="1:9" ht="17.25" thickBot="1">
      <c r="F5" s="1243" t="s">
        <v>622</v>
      </c>
      <c r="G5" s="1243"/>
      <c r="H5" s="1243"/>
      <c r="I5" s="1244"/>
    </row>
    <row r="6" spans="1:9" ht="23.45" customHeight="1">
      <c r="A6" s="1245" t="s">
        <v>406</v>
      </c>
      <c r="B6" s="1247" t="s">
        <v>988</v>
      </c>
      <c r="C6" s="1247"/>
      <c r="D6" s="1247"/>
      <c r="E6" s="1247"/>
      <c r="F6" s="1247"/>
      <c r="G6" s="1247" t="s">
        <v>989</v>
      </c>
      <c r="H6" s="1247" t="s">
        <v>990</v>
      </c>
      <c r="I6" s="1249" t="s">
        <v>148</v>
      </c>
    </row>
    <row r="7" spans="1:9" ht="42" customHeight="1">
      <c r="A7" s="1246"/>
      <c r="B7" s="775" t="s">
        <v>407</v>
      </c>
      <c r="C7" s="775" t="s">
        <v>408</v>
      </c>
      <c r="D7" s="775" t="s">
        <v>154</v>
      </c>
      <c r="E7" s="775" t="s">
        <v>189</v>
      </c>
      <c r="F7" s="775" t="s">
        <v>190</v>
      </c>
      <c r="G7" s="1248"/>
      <c r="H7" s="1248"/>
      <c r="I7" s="1250"/>
    </row>
    <row r="8" spans="1:9" s="524" customFormat="1" ht="33" customHeight="1">
      <c r="A8" s="520" t="s">
        <v>409</v>
      </c>
      <c r="B8" s="521"/>
      <c r="C8" s="521"/>
      <c r="D8" s="522">
        <f>'37.預計平衡表'!A20</f>
        <v>171032</v>
      </c>
      <c r="E8" s="522">
        <f>'37.預計平衡表'!A23</f>
        <v>7959</v>
      </c>
      <c r="F8" s="522">
        <f>'37.預計平衡表'!A26</f>
        <v>32998</v>
      </c>
      <c r="G8" s="740"/>
      <c r="H8" s="740"/>
      <c r="I8" s="523">
        <f>SUM(B8:F8)</f>
        <v>211989</v>
      </c>
    </row>
    <row r="9" spans="1:9" s="524" customFormat="1" ht="33" customHeight="1">
      <c r="A9" s="520" t="s">
        <v>954</v>
      </c>
      <c r="B9" s="521"/>
      <c r="C9" s="521"/>
      <c r="D9" s="522">
        <v>13915</v>
      </c>
      <c r="E9" s="522">
        <f>'30.固定資產建改擴明細表'!F8</f>
        <v>0</v>
      </c>
      <c r="F9" s="522">
        <v>12242</v>
      </c>
      <c r="G9" s="740"/>
      <c r="H9" s="740"/>
      <c r="I9" s="523">
        <f>SUM(B9:F9)</f>
        <v>26157</v>
      </c>
    </row>
    <row r="10" spans="1:9" s="524" customFormat="1" ht="33" customHeight="1">
      <c r="A10" s="525" t="s">
        <v>955</v>
      </c>
      <c r="B10" s="419"/>
      <c r="C10" s="419"/>
      <c r="D10" s="522">
        <f>'37.預計平衡表'!E20</f>
        <v>13010</v>
      </c>
      <c r="E10" s="522">
        <f>'30.固定資產建改擴明細表'!F9</f>
        <v>0</v>
      </c>
      <c r="F10" s="522">
        <f>'37.預計平衡表'!E26</f>
        <v>4485</v>
      </c>
      <c r="G10" s="740"/>
      <c r="H10" s="740"/>
      <c r="I10" s="523">
        <f>SUM(B10:F10)</f>
        <v>17495</v>
      </c>
    </row>
    <row r="11" spans="1:9" s="524" customFormat="1" ht="33" customHeight="1">
      <c r="A11" s="525" t="s">
        <v>410</v>
      </c>
      <c r="B11" s="419"/>
      <c r="C11" s="419"/>
      <c r="D11" s="522"/>
      <c r="E11" s="522"/>
      <c r="F11" s="522"/>
      <c r="G11" s="740"/>
      <c r="H11" s="740"/>
      <c r="I11" s="523"/>
    </row>
    <row r="12" spans="1:9" s="524" customFormat="1" ht="33" customHeight="1">
      <c r="A12" s="525" t="s">
        <v>411</v>
      </c>
      <c r="B12" s="419"/>
      <c r="C12" s="419"/>
      <c r="D12" s="522">
        <f>SUM(D8:D10)</f>
        <v>197957</v>
      </c>
      <c r="E12" s="522">
        <f>SUM(E8:E10)</f>
        <v>7959</v>
      </c>
      <c r="F12" s="522">
        <f>SUM(F8:F10)</f>
        <v>49725</v>
      </c>
      <c r="G12" s="740"/>
      <c r="H12" s="740"/>
      <c r="I12" s="523">
        <f>SUM(I8:I10)</f>
        <v>255641</v>
      </c>
    </row>
    <row r="13" spans="1:9" s="524" customFormat="1" ht="33" hidden="1" customHeight="1">
      <c r="A13" s="525" t="s">
        <v>412</v>
      </c>
      <c r="B13" s="1239" t="s">
        <v>416</v>
      </c>
      <c r="C13" s="1240"/>
      <c r="D13" s="1240"/>
      <c r="E13" s="1240"/>
      <c r="F13" s="1240"/>
      <c r="G13" s="1240"/>
      <c r="H13" s="1240"/>
      <c r="I13" s="1241"/>
    </row>
    <row r="14" spans="1:9" s="524" customFormat="1" ht="33" hidden="1" customHeight="1">
      <c r="A14" s="525" t="s">
        <v>413</v>
      </c>
      <c r="B14" s="1239" t="s">
        <v>427</v>
      </c>
      <c r="C14" s="1240"/>
      <c r="D14" s="1240"/>
      <c r="E14" s="1240"/>
      <c r="F14" s="1240"/>
      <c r="G14" s="1240"/>
      <c r="H14" s="1240"/>
      <c r="I14" s="1242"/>
    </row>
    <row r="15" spans="1:9" s="528" customFormat="1" ht="33" customHeight="1">
      <c r="A15" s="526" t="s">
        <v>414</v>
      </c>
      <c r="B15" s="527"/>
      <c r="C15" s="527"/>
      <c r="D15" s="970">
        <f>SUM(D16)</f>
        <v>14197</v>
      </c>
      <c r="E15" s="970">
        <f>SUM(E16:E16)</f>
        <v>169</v>
      </c>
      <c r="F15" s="970">
        <f>SUM(F16:F16)</f>
        <v>1628</v>
      </c>
      <c r="G15" s="741"/>
      <c r="H15" s="741"/>
      <c r="I15" s="735">
        <f>SUM(B15:F15)</f>
        <v>15994</v>
      </c>
    </row>
    <row r="16" spans="1:9" s="524" customFormat="1" ht="33" customHeight="1">
      <c r="A16" s="529" t="s">
        <v>415</v>
      </c>
      <c r="B16" s="419"/>
      <c r="C16" s="419"/>
      <c r="D16" s="522">
        <f>'40-41.各項費用彙計表(7級) '!G75</f>
        <v>14197</v>
      </c>
      <c r="E16" s="522">
        <f>'40-41.各項費用彙計表(7級) '!G76</f>
        <v>169</v>
      </c>
      <c r="F16" s="522">
        <f>'40-41.各項費用彙計表(7級) '!G77</f>
        <v>1628</v>
      </c>
      <c r="G16" s="740"/>
      <c r="H16" s="740"/>
      <c r="I16" s="523">
        <f>SUM(B16:F16)</f>
        <v>15994</v>
      </c>
    </row>
    <row r="17" spans="1:9" ht="33" customHeight="1">
      <c r="A17" s="530"/>
      <c r="B17" s="247"/>
      <c r="C17" s="247"/>
      <c r="D17" s="247"/>
      <c r="E17" s="247"/>
      <c r="F17" s="247"/>
      <c r="G17" s="497"/>
      <c r="H17" s="497"/>
      <c r="I17" s="503"/>
    </row>
    <row r="18" spans="1:9" ht="33" customHeight="1">
      <c r="A18" s="530"/>
      <c r="B18" s="247"/>
      <c r="C18" s="247"/>
      <c r="D18" s="247"/>
      <c r="E18" s="247"/>
      <c r="F18" s="247"/>
      <c r="G18" s="497"/>
      <c r="H18" s="497"/>
      <c r="I18" s="503"/>
    </row>
    <row r="19" spans="1:9" ht="33" customHeight="1">
      <c r="A19" s="530"/>
      <c r="B19" s="247"/>
      <c r="C19" s="247"/>
      <c r="D19" s="247"/>
      <c r="E19" s="247"/>
      <c r="F19" s="247"/>
      <c r="G19" s="497"/>
      <c r="H19" s="497"/>
      <c r="I19" s="503"/>
    </row>
    <row r="20" spans="1:9" ht="33" customHeight="1">
      <c r="A20" s="530"/>
      <c r="B20" s="247"/>
      <c r="C20" s="247"/>
      <c r="D20" s="247"/>
      <c r="E20" s="247"/>
      <c r="F20" s="247"/>
      <c r="G20" s="497"/>
      <c r="H20" s="497"/>
      <c r="I20" s="503"/>
    </row>
    <row r="21" spans="1:9" ht="33" customHeight="1">
      <c r="A21" s="530"/>
      <c r="B21" s="247"/>
      <c r="C21" s="247"/>
      <c r="D21" s="247"/>
      <c r="E21" s="247"/>
      <c r="F21" s="247"/>
      <c r="G21" s="497"/>
      <c r="H21" s="497"/>
      <c r="I21" s="503"/>
    </row>
    <row r="22" spans="1:9" ht="33" customHeight="1">
      <c r="A22" s="530"/>
      <c r="B22" s="247"/>
      <c r="C22" s="247"/>
      <c r="D22" s="247"/>
      <c r="E22" s="247"/>
      <c r="F22" s="247"/>
      <c r="G22" s="497"/>
      <c r="H22" s="497"/>
      <c r="I22" s="503"/>
    </row>
    <row r="23" spans="1:9" ht="33" customHeight="1">
      <c r="A23" s="530"/>
      <c r="B23" s="247"/>
      <c r="C23" s="247"/>
      <c r="D23" s="247"/>
      <c r="E23" s="247"/>
      <c r="F23" s="247"/>
      <c r="G23" s="497"/>
      <c r="H23" s="497"/>
      <c r="I23" s="503"/>
    </row>
    <row r="24" spans="1:9" ht="33" customHeight="1">
      <c r="A24" s="530"/>
      <c r="B24" s="247"/>
      <c r="C24" s="247"/>
      <c r="D24" s="247"/>
      <c r="E24" s="247"/>
      <c r="F24" s="247"/>
      <c r="G24" s="497"/>
      <c r="H24" s="497"/>
      <c r="I24" s="503"/>
    </row>
    <row r="25" spans="1:9" ht="33" customHeight="1">
      <c r="A25" s="530"/>
      <c r="B25" s="247"/>
      <c r="C25" s="247"/>
      <c r="D25" s="247"/>
      <c r="E25" s="247"/>
      <c r="F25" s="247"/>
      <c r="G25" s="497"/>
      <c r="H25" s="497"/>
      <c r="I25" s="503"/>
    </row>
    <row r="26" spans="1:9" ht="33" customHeight="1">
      <c r="A26" s="530"/>
      <c r="B26" s="247"/>
      <c r="C26" s="247"/>
      <c r="D26" s="247"/>
      <c r="E26" s="247"/>
      <c r="F26" s="247"/>
      <c r="G26" s="497"/>
      <c r="H26" s="497"/>
      <c r="I26" s="503"/>
    </row>
    <row r="27" spans="1:9" ht="33" customHeight="1">
      <c r="A27" s="530"/>
      <c r="B27" s="247"/>
      <c r="C27" s="247"/>
      <c r="D27" s="247"/>
      <c r="E27" s="247"/>
      <c r="F27" s="247"/>
      <c r="G27" s="497"/>
      <c r="H27" s="497"/>
      <c r="I27" s="503"/>
    </row>
    <row r="28" spans="1:9" ht="33" customHeight="1">
      <c r="A28" s="530"/>
      <c r="B28" s="247"/>
      <c r="C28" s="247"/>
      <c r="D28" s="247"/>
      <c r="E28" s="247"/>
      <c r="F28" s="247"/>
      <c r="G28" s="497"/>
      <c r="H28" s="497"/>
      <c r="I28" s="503"/>
    </row>
    <row r="29" spans="1:9" ht="48" customHeight="1" thickBot="1">
      <c r="A29" s="531"/>
      <c r="B29" s="480"/>
      <c r="C29" s="480"/>
      <c r="D29" s="480"/>
      <c r="E29" s="480"/>
      <c r="F29" s="480"/>
      <c r="G29" s="742"/>
      <c r="H29" s="742"/>
      <c r="I29" s="516"/>
    </row>
  </sheetData>
  <mergeCells count="12">
    <mergeCell ref="B13:I13"/>
    <mergeCell ref="B14:I14"/>
    <mergeCell ref="F5:I5"/>
    <mergeCell ref="A1:I1"/>
    <mergeCell ref="A2:I2"/>
    <mergeCell ref="A4:I4"/>
    <mergeCell ref="A3:I3"/>
    <mergeCell ref="A6:A7"/>
    <mergeCell ref="B6:F6"/>
    <mergeCell ref="G6:G7"/>
    <mergeCell ref="H6:H7"/>
    <mergeCell ref="I6:I7"/>
  </mergeCells>
  <phoneticPr fontId="14" type="noConversion"/>
  <printOptions horizontalCentered="1"/>
  <pageMargins left="0.6692913385826772" right="0.6692913385826772" top="0.59055118110236227" bottom="0.78740157480314965" header="0.51181102362204722" footer="0.51181102362204722"/>
  <pageSetup paperSize="9" scale="90" firstPageNumber="32" orientation="portrait" blackAndWhite="1" useFirstPageNumber="1" r:id="rId1"/>
  <headerFooter scaleWithDoc="0" alignWithMargins="0">
    <oddFooter>&amp;C&amp;"Arial Unicode MS,標準"&amp;P</oddFooter>
  </headerFooter>
</worksheet>
</file>

<file path=xl/worksheets/sheet28.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workbookViewId="0">
      <selection activeCell="B12" sqref="B12:G12"/>
    </sheetView>
  </sheetViews>
  <sheetFormatPr defaultColWidth="9" defaultRowHeight="16.5"/>
  <cols>
    <col min="1" max="1" width="35.875" style="1" customWidth="1"/>
    <col min="2" max="3" width="6.625" style="1" customWidth="1"/>
    <col min="4" max="6" width="10.625" style="1" customWidth="1"/>
    <col min="7" max="7" width="11.375" style="1" customWidth="1"/>
    <col min="8" max="16384" width="9" style="1"/>
  </cols>
  <sheetData>
    <row r="1" spans="1:7" s="118" customFormat="1" ht="25.5">
      <c r="A1" s="1172" t="s">
        <v>466</v>
      </c>
      <c r="B1" s="1172"/>
      <c r="C1" s="1172"/>
      <c r="D1" s="1172"/>
      <c r="E1" s="1172"/>
      <c r="F1" s="1172"/>
      <c r="G1" s="1172"/>
    </row>
    <row r="2" spans="1:7" s="127" customFormat="1" ht="21">
      <c r="A2" s="1174" t="s">
        <v>467</v>
      </c>
      <c r="B2" s="1174"/>
      <c r="C2" s="1174"/>
      <c r="D2" s="1174"/>
      <c r="E2" s="1174"/>
      <c r="F2" s="1174"/>
      <c r="G2" s="1174"/>
    </row>
    <row r="3" spans="1:7" s="127" customFormat="1" ht="21">
      <c r="A3" s="988" t="s">
        <v>468</v>
      </c>
      <c r="B3" s="988"/>
      <c r="C3" s="988"/>
      <c r="D3" s="988"/>
      <c r="E3" s="988"/>
      <c r="F3" s="988"/>
      <c r="G3" s="988"/>
    </row>
    <row r="4" spans="1:7" s="128" customFormat="1" ht="19.5">
      <c r="A4" s="1256" t="s">
        <v>928</v>
      </c>
      <c r="B4" s="1256"/>
      <c r="C4" s="1256"/>
      <c r="D4" s="1256"/>
      <c r="E4" s="1256"/>
      <c r="F4" s="1256"/>
      <c r="G4" s="1256"/>
    </row>
    <row r="5" spans="1:7" ht="17.25" thickBot="1">
      <c r="F5" s="1254" t="s">
        <v>622</v>
      </c>
      <c r="G5" s="1255"/>
    </row>
    <row r="6" spans="1:7" ht="42" customHeight="1">
      <c r="A6" s="14" t="s">
        <v>469</v>
      </c>
      <c r="B6" s="288" t="s">
        <v>470</v>
      </c>
      <c r="C6" s="288" t="s">
        <v>471</v>
      </c>
      <c r="D6" s="288" t="s">
        <v>472</v>
      </c>
      <c r="E6" s="289" t="s">
        <v>189</v>
      </c>
      <c r="F6" s="289" t="s">
        <v>190</v>
      </c>
      <c r="G6" s="15" t="s">
        <v>473</v>
      </c>
    </row>
    <row r="7" spans="1:7" s="276" customFormat="1" ht="33" customHeight="1">
      <c r="A7" s="225" t="s">
        <v>474</v>
      </c>
      <c r="B7" s="226"/>
      <c r="C7" s="226"/>
      <c r="D7" s="522">
        <v>151370</v>
      </c>
      <c r="E7" s="522">
        <v>12715</v>
      </c>
      <c r="F7" s="522">
        <v>25650</v>
      </c>
      <c r="G7" s="284">
        <f>SUM(B7:F7)</f>
        <v>189735</v>
      </c>
    </row>
    <row r="8" spans="1:7" s="276" customFormat="1" ht="33" customHeight="1">
      <c r="A8" s="225" t="s">
        <v>475</v>
      </c>
      <c r="B8" s="226"/>
      <c r="C8" s="226"/>
      <c r="D8" s="522">
        <v>18898</v>
      </c>
      <c r="E8" s="522">
        <v>0</v>
      </c>
      <c r="F8" s="522">
        <v>252</v>
      </c>
      <c r="G8" s="284">
        <f>SUM(B8:F8)</f>
        <v>19150</v>
      </c>
    </row>
    <row r="9" spans="1:7" s="276" customFormat="1" ht="33" customHeight="1">
      <c r="A9" s="285" t="s">
        <v>476</v>
      </c>
      <c r="B9" s="286"/>
      <c r="C9" s="286"/>
      <c r="D9" s="283">
        <f>'30.固定資產建改擴明細表'!E9</f>
        <v>13010</v>
      </c>
      <c r="E9" s="283">
        <f>'30.固定資產建改擴明細表'!F9</f>
        <v>0</v>
      </c>
      <c r="F9" s="283">
        <f>'30.固定資產建改擴明細表'!G9</f>
        <v>4485</v>
      </c>
      <c r="G9" s="284">
        <f>SUM(B9:F9)</f>
        <v>17495</v>
      </c>
    </row>
    <row r="10" spans="1:7" s="276" customFormat="1" ht="33" customHeight="1">
      <c r="A10" s="285" t="s">
        <v>477</v>
      </c>
      <c r="B10" s="286"/>
      <c r="C10" s="286"/>
      <c r="D10" s="283"/>
      <c r="E10" s="283"/>
      <c r="F10" s="283"/>
      <c r="G10" s="284"/>
    </row>
    <row r="11" spans="1:7" s="276" customFormat="1" ht="33" customHeight="1">
      <c r="A11" s="285" t="s">
        <v>478</v>
      </c>
      <c r="B11" s="286"/>
      <c r="C11" s="286"/>
      <c r="D11" s="283">
        <f>SUM(D7:D9)</f>
        <v>183278</v>
      </c>
      <c r="E11" s="283">
        <f>SUM(E7:E9)</f>
        <v>12715</v>
      </c>
      <c r="F11" s="283">
        <f>SUM(F7:F9)</f>
        <v>30387</v>
      </c>
      <c r="G11" s="371">
        <f>SUM(G7:G9)</f>
        <v>226380</v>
      </c>
    </row>
    <row r="12" spans="1:7" s="276" customFormat="1" ht="33" customHeight="1">
      <c r="A12" s="285" t="s">
        <v>479</v>
      </c>
      <c r="B12" s="1251" t="s">
        <v>480</v>
      </c>
      <c r="C12" s="1252"/>
      <c r="D12" s="1252"/>
      <c r="E12" s="1252"/>
      <c r="F12" s="1252"/>
      <c r="G12" s="1253"/>
    </row>
    <row r="13" spans="1:7" s="276" customFormat="1" ht="33" customHeight="1">
      <c r="A13" s="285" t="s">
        <v>481</v>
      </c>
      <c r="B13" s="1251" t="s">
        <v>482</v>
      </c>
      <c r="C13" s="1252"/>
      <c r="D13" s="1252"/>
      <c r="E13" s="1252"/>
      <c r="F13" s="1252"/>
      <c r="G13" s="1253"/>
    </row>
    <row r="14" spans="1:7" s="298" customFormat="1" ht="33" customHeight="1">
      <c r="A14" s="321" t="s">
        <v>483</v>
      </c>
      <c r="B14" s="322"/>
      <c r="C14" s="322"/>
      <c r="D14" s="323">
        <f>SUM(D15)</f>
        <v>14197</v>
      </c>
      <c r="E14" s="323">
        <f>SUM(E15:E15)</f>
        <v>169</v>
      </c>
      <c r="F14" s="323">
        <f>SUM(F15:F15)</f>
        <v>1628</v>
      </c>
      <c r="G14" s="324">
        <f>SUM(B14:F14)</f>
        <v>15994</v>
      </c>
    </row>
    <row r="15" spans="1:7" s="276" customFormat="1" ht="33" customHeight="1">
      <c r="A15" s="287" t="s">
        <v>484</v>
      </c>
      <c r="B15" s="286"/>
      <c r="C15" s="286"/>
      <c r="D15" s="283">
        <f>'40-41.各項費用彙計表(7級) '!G75</f>
        <v>14197</v>
      </c>
      <c r="E15" s="283">
        <f>'40-41.各項費用彙計表(7級) '!G76</f>
        <v>169</v>
      </c>
      <c r="F15" s="283">
        <f>'40-41.各項費用彙計表(7級) '!G77</f>
        <v>1628</v>
      </c>
      <c r="G15" s="284">
        <f>SUM(B15:F15)</f>
        <v>15994</v>
      </c>
    </row>
    <row r="16" spans="1:7" ht="33" customHeight="1">
      <c r="A16" s="76"/>
      <c r="B16" s="8"/>
      <c r="C16" s="8"/>
      <c r="D16" s="8"/>
      <c r="E16" s="8"/>
      <c r="F16" s="8"/>
      <c r="G16" s="17"/>
    </row>
    <row r="17" spans="1:7" ht="33" customHeight="1">
      <c r="A17" s="76"/>
      <c r="B17" s="8"/>
      <c r="C17" s="8"/>
      <c r="D17" s="8"/>
      <c r="E17" s="8"/>
      <c r="F17" s="8"/>
      <c r="G17" s="17"/>
    </row>
    <row r="18" spans="1:7" ht="33" customHeight="1">
      <c r="A18" s="76"/>
      <c r="B18" s="8"/>
      <c r="C18" s="8"/>
      <c r="D18" s="8"/>
      <c r="E18" s="8"/>
      <c r="F18" s="8"/>
      <c r="G18" s="17"/>
    </row>
    <row r="19" spans="1:7" ht="33" customHeight="1">
      <c r="A19" s="76"/>
      <c r="B19" s="8"/>
      <c r="C19" s="8"/>
      <c r="D19" s="8"/>
      <c r="E19" s="8"/>
      <c r="F19" s="8"/>
      <c r="G19" s="17"/>
    </row>
    <row r="20" spans="1:7" ht="33" customHeight="1">
      <c r="A20" s="76"/>
      <c r="B20" s="8"/>
      <c r="C20" s="8"/>
      <c r="D20" s="8"/>
      <c r="E20" s="8"/>
      <c r="F20" s="8"/>
      <c r="G20" s="17"/>
    </row>
    <row r="21" spans="1:7" ht="33" customHeight="1">
      <c r="A21" s="76"/>
      <c r="B21" s="8"/>
      <c r="C21" s="8"/>
      <c r="D21" s="8"/>
      <c r="E21" s="8"/>
      <c r="F21" s="8"/>
      <c r="G21" s="17"/>
    </row>
    <row r="22" spans="1:7" ht="33" customHeight="1">
      <c r="A22" s="76"/>
      <c r="B22" s="8"/>
      <c r="C22" s="8"/>
      <c r="D22" s="8"/>
      <c r="E22" s="8"/>
      <c r="F22" s="8"/>
      <c r="G22" s="17"/>
    </row>
    <row r="23" spans="1:7" ht="33" customHeight="1">
      <c r="A23" s="76"/>
      <c r="B23" s="8"/>
      <c r="C23" s="8"/>
      <c r="D23" s="8"/>
      <c r="E23" s="8"/>
      <c r="F23" s="8"/>
      <c r="G23" s="17"/>
    </row>
    <row r="24" spans="1:7" ht="33" customHeight="1">
      <c r="A24" s="76"/>
      <c r="B24" s="8"/>
      <c r="C24" s="8"/>
      <c r="D24" s="8"/>
      <c r="E24" s="8"/>
      <c r="F24" s="8"/>
      <c r="G24" s="17"/>
    </row>
    <row r="25" spans="1:7" ht="33" customHeight="1">
      <c r="A25" s="76"/>
      <c r="B25" s="8"/>
      <c r="C25" s="8"/>
      <c r="D25" s="8"/>
      <c r="E25" s="8"/>
      <c r="F25" s="8"/>
      <c r="G25" s="17"/>
    </row>
    <row r="26" spans="1:7" ht="51" customHeight="1" thickBot="1">
      <c r="A26" s="77"/>
      <c r="B26" s="24"/>
      <c r="C26" s="24"/>
      <c r="D26" s="24"/>
      <c r="E26" s="24"/>
      <c r="F26" s="24"/>
      <c r="G26" s="26"/>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&amp;C&amp;"Arial,標準"&amp;P</oddFooter>
  </headerFooter>
</worksheet>
</file>

<file path=xl/worksheets/sheet29.xml><?xml version="1.0" encoding="utf-8"?>
<worksheet xmlns="http://schemas.openxmlformats.org/spreadsheetml/2006/main" xmlns:r="http://schemas.openxmlformats.org/officeDocument/2006/relationships">
  <sheetPr codeName="Sheet32">
    <tabColor rgb="FFFFFFCC"/>
  </sheetPr>
  <dimension ref="A1:C39"/>
  <sheetViews>
    <sheetView workbookViewId="0">
      <selection activeCell="O26" sqref="O26"/>
    </sheetView>
  </sheetViews>
  <sheetFormatPr defaultColWidth="9" defaultRowHeight="16.5"/>
  <cols>
    <col min="1" max="1" width="36.625" style="1" customWidth="1"/>
    <col min="2" max="2" width="18.625" style="1" customWidth="1"/>
    <col min="3" max="3" width="37" style="1" customWidth="1"/>
    <col min="4" max="16384" width="9" style="1"/>
  </cols>
  <sheetData>
    <row r="1" spans="1:3" s="118" customFormat="1" ht="25.5">
      <c r="A1" s="979" t="s">
        <v>220</v>
      </c>
      <c r="B1" s="1257"/>
      <c r="C1" s="1257"/>
    </row>
    <row r="2" spans="1:3" s="127" customFormat="1" ht="21">
      <c r="A2" s="980" t="s">
        <v>76</v>
      </c>
      <c r="B2" s="1258"/>
      <c r="C2" s="1258"/>
    </row>
    <row r="3" spans="1:3" s="127" customFormat="1" ht="21">
      <c r="A3" s="981" t="s">
        <v>175</v>
      </c>
      <c r="B3" s="1259"/>
      <c r="C3" s="1259"/>
    </row>
    <row r="4" spans="1:3" s="128" customFormat="1" ht="19.5">
      <c r="A4" s="1078" t="s">
        <v>1066</v>
      </c>
      <c r="B4" s="982"/>
      <c r="C4" s="982"/>
    </row>
    <row r="5" spans="1:3" ht="17.25" customHeight="1" thickBot="1">
      <c r="A5" s="3"/>
      <c r="B5" s="89"/>
      <c r="C5" s="11" t="s">
        <v>347</v>
      </c>
    </row>
    <row r="6" spans="1:3" s="82" customFormat="1" ht="42" customHeight="1">
      <c r="A6" s="198" t="s">
        <v>348</v>
      </c>
      <c r="B6" s="199" t="s">
        <v>349</v>
      </c>
      <c r="C6" s="200" t="s">
        <v>177</v>
      </c>
    </row>
    <row r="7" spans="1:3" ht="20.100000000000001" customHeight="1">
      <c r="A7" s="201" t="s">
        <v>178</v>
      </c>
      <c r="B7" s="91">
        <v>127203</v>
      </c>
      <c r="C7" s="133"/>
    </row>
    <row r="8" spans="1:3" ht="20.100000000000001" customHeight="1">
      <c r="A8" s="201" t="s">
        <v>179</v>
      </c>
      <c r="B8" s="90"/>
      <c r="C8" s="134"/>
    </row>
    <row r="9" spans="1:3" ht="20.100000000000001" customHeight="1">
      <c r="A9" s="201" t="s">
        <v>180</v>
      </c>
      <c r="B9" s="114">
        <v>0</v>
      </c>
      <c r="C9" s="134"/>
    </row>
    <row r="10" spans="1:3" ht="20.100000000000001" customHeight="1">
      <c r="A10" s="201"/>
      <c r="B10" s="90"/>
      <c r="C10" s="134"/>
    </row>
    <row r="11" spans="1:3" ht="20.100000000000001" customHeight="1">
      <c r="A11" s="201" t="s">
        <v>181</v>
      </c>
      <c r="B11" s="114">
        <v>0</v>
      </c>
      <c r="C11" s="134"/>
    </row>
    <row r="12" spans="1:3" ht="20.100000000000001" customHeight="1">
      <c r="A12" s="201"/>
      <c r="B12" s="90"/>
      <c r="C12" s="134"/>
    </row>
    <row r="13" spans="1:3" ht="20.100000000000001" customHeight="1">
      <c r="A13" s="201" t="s">
        <v>182</v>
      </c>
      <c r="B13" s="114">
        <v>0</v>
      </c>
      <c r="C13" s="134"/>
    </row>
    <row r="14" spans="1:3" ht="20.100000000000001" customHeight="1">
      <c r="A14" s="201"/>
      <c r="B14" s="90"/>
      <c r="C14" s="134"/>
    </row>
    <row r="15" spans="1:3" ht="20.100000000000001" customHeight="1">
      <c r="A15" s="201" t="s">
        <v>350</v>
      </c>
      <c r="B15" s="114">
        <v>0</v>
      </c>
      <c r="C15" s="134"/>
    </row>
    <row r="16" spans="1:3" ht="20.100000000000001" customHeight="1">
      <c r="A16" s="201"/>
      <c r="B16" s="90"/>
      <c r="C16" s="134"/>
    </row>
    <row r="17" spans="1:3" ht="20.100000000000001" customHeight="1">
      <c r="A17" s="201" t="s">
        <v>183</v>
      </c>
      <c r="B17" s="114">
        <v>0</v>
      </c>
      <c r="C17" s="134"/>
    </row>
    <row r="18" spans="1:3" ht="20.100000000000001" customHeight="1">
      <c r="A18" s="201"/>
      <c r="B18" s="114"/>
      <c r="C18" s="134"/>
    </row>
    <row r="19" spans="1:3" ht="20.100000000000001" customHeight="1">
      <c r="A19" s="201" t="s">
        <v>184</v>
      </c>
      <c r="B19" s="90"/>
      <c r="C19" s="134"/>
    </row>
    <row r="20" spans="1:3" ht="20.100000000000001" customHeight="1">
      <c r="A20" s="201" t="s">
        <v>185</v>
      </c>
      <c r="B20" s="114">
        <v>0</v>
      </c>
      <c r="C20" s="134"/>
    </row>
    <row r="21" spans="1:3" ht="20.100000000000001" customHeight="1">
      <c r="A21" s="201"/>
      <c r="B21" s="90"/>
      <c r="C21" s="134"/>
    </row>
    <row r="22" spans="1:3" ht="20.100000000000001" customHeight="1">
      <c r="A22" s="201" t="s">
        <v>992</v>
      </c>
      <c r="B22" s="114">
        <v>0</v>
      </c>
      <c r="C22" s="134"/>
    </row>
    <row r="23" spans="1:3" ht="20.100000000000001" customHeight="1">
      <c r="A23" s="201"/>
      <c r="B23" s="90"/>
      <c r="C23" s="134"/>
    </row>
    <row r="24" spans="1:3" ht="20.100000000000001" customHeight="1">
      <c r="A24" s="201" t="s">
        <v>183</v>
      </c>
      <c r="B24" s="114">
        <v>0</v>
      </c>
      <c r="C24" s="134"/>
    </row>
    <row r="25" spans="1:3" ht="20.100000000000001" customHeight="1">
      <c r="A25" s="132"/>
      <c r="B25" s="90"/>
      <c r="C25" s="134"/>
    </row>
    <row r="26" spans="1:3" ht="20.100000000000001" customHeight="1">
      <c r="A26" s="132"/>
      <c r="B26" s="90"/>
      <c r="C26" s="134"/>
    </row>
    <row r="27" spans="1:3" ht="20.100000000000001" customHeight="1">
      <c r="A27" s="132"/>
      <c r="B27" s="90"/>
      <c r="C27" s="134"/>
    </row>
    <row r="28" spans="1:3" ht="20.100000000000001" customHeight="1">
      <c r="A28" s="132"/>
      <c r="B28" s="90"/>
      <c r="C28" s="134"/>
    </row>
    <row r="29" spans="1:3" ht="20.100000000000001" customHeight="1">
      <c r="A29" s="132"/>
      <c r="B29" s="90"/>
      <c r="C29" s="134"/>
    </row>
    <row r="30" spans="1:3" ht="20.100000000000001" customHeight="1">
      <c r="A30" s="132"/>
      <c r="B30" s="90"/>
      <c r="C30" s="134"/>
    </row>
    <row r="31" spans="1:3" ht="20.100000000000001" customHeight="1">
      <c r="A31" s="132"/>
      <c r="B31" s="90"/>
      <c r="C31" s="134"/>
    </row>
    <row r="32" spans="1:3" ht="20.100000000000001" customHeight="1">
      <c r="A32" s="132"/>
      <c r="B32" s="90"/>
      <c r="C32" s="134"/>
    </row>
    <row r="33" spans="1:3" ht="20.100000000000001" customHeight="1">
      <c r="A33" s="132"/>
      <c r="B33" s="90"/>
      <c r="C33" s="134"/>
    </row>
    <row r="34" spans="1:3" ht="20.100000000000001" customHeight="1">
      <c r="A34" s="132"/>
      <c r="B34" s="90"/>
      <c r="C34" s="134"/>
    </row>
    <row r="35" spans="1:3" ht="20.100000000000001" customHeight="1">
      <c r="A35" s="132"/>
      <c r="B35" s="90"/>
      <c r="C35" s="134"/>
    </row>
    <row r="36" spans="1:3" ht="20.100000000000001" customHeight="1">
      <c r="A36" s="132"/>
      <c r="B36" s="90"/>
      <c r="C36" s="134"/>
    </row>
    <row r="37" spans="1:3" ht="20.100000000000001" customHeight="1">
      <c r="A37" s="132"/>
      <c r="B37" s="90"/>
      <c r="C37" s="134"/>
    </row>
    <row r="38" spans="1:3" ht="15.6" customHeight="1">
      <c r="A38" s="132"/>
      <c r="B38" s="90"/>
      <c r="C38" s="134"/>
    </row>
    <row r="39" spans="1:3" ht="23.25" customHeight="1" thickBot="1">
      <c r="A39" s="202" t="s">
        <v>187</v>
      </c>
      <c r="B39" s="135">
        <f>B7+B9+B11+B13+B15+B17-B20-B22-B24</f>
        <v>127203</v>
      </c>
      <c r="C39" s="136"/>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3" orientation="portrait" useFirstPageNumber="1" r:id="rId1"/>
  <headerFooter scaleWithDoc="0" alignWithMargins="0">
    <oddFooter>&amp;C&amp;"Arial Unicode MS,標準"&amp;P</oddFooter>
  </headerFooter>
</worksheet>
</file>

<file path=xl/worksheets/sheet3.xml><?xml version="1.0" encoding="utf-8"?>
<worksheet xmlns="http://schemas.openxmlformats.org/spreadsheetml/2006/main" xmlns:r="http://schemas.openxmlformats.org/officeDocument/2006/relationships">
  <sheetPr codeName="Sheet4">
    <tabColor rgb="FFFFFFCC"/>
  </sheetPr>
  <dimension ref="A1:E106"/>
  <sheetViews>
    <sheetView zoomScaleNormal="100" workbookViewId="0">
      <selection activeCell="F11" sqref="F11"/>
    </sheetView>
  </sheetViews>
  <sheetFormatPr defaultColWidth="23.125" defaultRowHeight="16.5"/>
  <cols>
    <col min="1" max="1" width="5.25" customWidth="1"/>
    <col min="2" max="2" width="20.75" customWidth="1"/>
    <col min="3" max="3" width="19.375" customWidth="1"/>
    <col min="4" max="4" width="20.5" customWidth="1"/>
    <col min="5" max="5" width="18.75" customWidth="1"/>
  </cols>
  <sheetData>
    <row r="1" spans="1:5" s="1" customFormat="1" ht="25.5">
      <c r="B1" s="979" t="s">
        <v>234</v>
      </c>
      <c r="C1" s="979"/>
      <c r="D1" s="979"/>
      <c r="E1" s="979"/>
    </row>
    <row r="2" spans="1:5" s="1" customFormat="1" ht="21">
      <c r="B2" s="980" t="s">
        <v>235</v>
      </c>
      <c r="C2" s="980"/>
      <c r="D2" s="980"/>
      <c r="E2" s="980"/>
    </row>
    <row r="3" spans="1:5" s="1" customFormat="1" ht="21">
      <c r="B3" s="981" t="s">
        <v>250</v>
      </c>
      <c r="C3" s="981"/>
      <c r="D3" s="981"/>
      <c r="E3" s="981"/>
    </row>
    <row r="4" spans="1:5" s="1" customFormat="1" ht="19.5" customHeight="1">
      <c r="B4" s="982" t="s">
        <v>1100</v>
      </c>
      <c r="C4" s="982"/>
      <c r="D4" s="982"/>
      <c r="E4" s="982"/>
    </row>
    <row r="5" spans="1:5" s="1" customFormat="1" ht="19.5" customHeight="1">
      <c r="A5" s="5"/>
      <c r="B5" s="5"/>
      <c r="C5" s="5"/>
      <c r="D5" s="5"/>
      <c r="E5" s="5"/>
    </row>
    <row r="6" spans="1:5" s="1" customFormat="1" ht="21">
      <c r="B6" s="988" t="s">
        <v>1101</v>
      </c>
      <c r="C6" s="988"/>
      <c r="D6" s="988"/>
      <c r="E6" s="988"/>
    </row>
    <row r="7" spans="1:5" s="1" customFormat="1" ht="21">
      <c r="B7" s="989" t="s">
        <v>249</v>
      </c>
      <c r="C7" s="990"/>
      <c r="D7" s="990"/>
      <c r="E7" s="990"/>
    </row>
    <row r="8" spans="1:5" s="1" customFormat="1" ht="21">
      <c r="B8" s="143"/>
      <c r="C8" s="144"/>
      <c r="D8" s="144"/>
      <c r="E8" s="144"/>
    </row>
    <row r="9" spans="1:5" s="1" customFormat="1" ht="25.5">
      <c r="B9" s="986"/>
      <c r="C9" s="987"/>
      <c r="D9" s="987"/>
      <c r="E9" s="987"/>
    </row>
    <row r="10" spans="1:5" s="1" customFormat="1" ht="17.25" customHeight="1">
      <c r="B10" s="985"/>
      <c r="C10" s="985"/>
      <c r="D10" s="985"/>
      <c r="E10" s="985"/>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342"/>
      <c r="D21" s="342"/>
      <c r="E21" s="342"/>
    </row>
    <row r="22" spans="2:5" s="1" customFormat="1" ht="21">
      <c r="B22" s="983" t="s">
        <v>251</v>
      </c>
      <c r="C22" s="984"/>
      <c r="D22" s="984"/>
      <c r="E22" s="984"/>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236</v>
      </c>
    </row>
    <row r="37" spans="2:5" s="1" customFormat="1" ht="22.15" customHeight="1">
      <c r="B37" s="13" t="s">
        <v>252</v>
      </c>
      <c r="C37" s="13" t="s">
        <v>1102</v>
      </c>
      <c r="D37" s="13" t="s">
        <v>253</v>
      </c>
      <c r="E37" s="13" t="s">
        <v>1102</v>
      </c>
    </row>
    <row r="38" spans="2:5" s="1" customFormat="1" ht="22.15" customHeight="1">
      <c r="B38" s="723" t="s">
        <v>982</v>
      </c>
      <c r="C38" s="724">
        <f>C39+C40</f>
        <v>17495</v>
      </c>
      <c r="D38" s="430" t="s">
        <v>983</v>
      </c>
      <c r="E38" s="431">
        <f>C38</f>
        <v>17495</v>
      </c>
    </row>
    <row r="39" spans="2:5" s="1" customFormat="1" ht="22.15" customHeight="1">
      <c r="B39" s="722" t="s">
        <v>154</v>
      </c>
      <c r="C39" s="126">
        <v>13010</v>
      </c>
      <c r="D39" s="432"/>
      <c r="E39" s="126"/>
    </row>
    <row r="40" spans="2:5" s="1" customFormat="1" ht="22.15" customHeight="1">
      <c r="B40" s="722" t="s">
        <v>155</v>
      </c>
      <c r="C40" s="126">
        <v>4485</v>
      </c>
      <c r="D40" s="432"/>
      <c r="E40" s="126"/>
    </row>
    <row r="41" spans="2:5" s="1" customFormat="1" ht="22.15" customHeight="1">
      <c r="B41" s="2" t="s">
        <v>255</v>
      </c>
      <c r="C41" s="148">
        <f>SUM(C39:C40)</f>
        <v>17495</v>
      </c>
      <c r="D41" s="2" t="s">
        <v>256</v>
      </c>
      <c r="E41" s="148">
        <f>E38</f>
        <v>17495</v>
      </c>
    </row>
    <row r="42" spans="2:5" s="1" customFormat="1"/>
    <row r="43" spans="2:5" s="1" customFormat="1">
      <c r="B43" s="69" t="s">
        <v>154</v>
      </c>
      <c r="C43" s="392">
        <f>C39/$C$41</f>
        <v>0.74364104029722777</v>
      </c>
    </row>
    <row r="44" spans="2:5" s="1" customFormat="1" hidden="1">
      <c r="B44" s="69" t="s">
        <v>689</v>
      </c>
      <c r="C44" s="392" t="e">
        <f>#REF!/$C$41</f>
        <v>#REF!</v>
      </c>
    </row>
    <row r="45" spans="2:5" s="1" customFormat="1">
      <c r="B45" s="69" t="s">
        <v>155</v>
      </c>
      <c r="C45" s="392">
        <f>C40/$C$41</f>
        <v>0.25635895970277223</v>
      </c>
    </row>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row r="106" spans="2:5" s="1" customFormat="1">
      <c r="B106"/>
      <c r="C106"/>
      <c r="D106"/>
      <c r="E106"/>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98425196850393704" right="0.98425196850393704" top="0.59055118110236227" bottom="0.78740157480314965" header="0.51181102362204722" footer="0.51181102362204722"/>
  <pageSetup paperSize="9" firstPageNumber="10"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topLeftCell="A22" workbookViewId="0">
      <selection activeCell="A4" sqref="A4:C4"/>
    </sheetView>
  </sheetViews>
  <sheetFormatPr defaultColWidth="9" defaultRowHeight="16.5"/>
  <cols>
    <col min="1" max="1" width="36.625" style="1" customWidth="1"/>
    <col min="2" max="2" width="18.625" style="1" customWidth="1"/>
    <col min="3" max="3" width="37" style="1" customWidth="1"/>
    <col min="4" max="16384" width="9" style="1"/>
  </cols>
  <sheetData>
    <row r="1" spans="1:3" s="118" customFormat="1" ht="25.5">
      <c r="A1" s="979" t="s">
        <v>485</v>
      </c>
      <c r="B1" s="1257"/>
      <c r="C1" s="1257"/>
    </row>
    <row r="2" spans="1:3" s="127" customFormat="1" ht="21">
      <c r="A2" s="980" t="s">
        <v>486</v>
      </c>
      <c r="B2" s="1258"/>
      <c r="C2" s="1258"/>
    </row>
    <row r="3" spans="1:3" s="127" customFormat="1" ht="21">
      <c r="A3" s="981" t="s">
        <v>175</v>
      </c>
      <c r="B3" s="1259"/>
      <c r="C3" s="1259"/>
    </row>
    <row r="4" spans="1:3" s="128" customFormat="1" ht="19.5">
      <c r="A4" s="1078" t="s">
        <v>928</v>
      </c>
      <c r="B4" s="982"/>
      <c r="C4" s="982"/>
    </row>
    <row r="5" spans="1:3" ht="17.25" customHeight="1" thickBot="1">
      <c r="A5" s="3"/>
      <c r="B5" s="89"/>
      <c r="C5" s="11" t="s">
        <v>487</v>
      </c>
    </row>
    <row r="6" spans="1:3" s="82" customFormat="1" ht="42" customHeight="1">
      <c r="A6" s="198" t="s">
        <v>488</v>
      </c>
      <c r="B6" s="199" t="s">
        <v>489</v>
      </c>
      <c r="C6" s="200" t="s">
        <v>177</v>
      </c>
    </row>
    <row r="7" spans="1:3" ht="20.100000000000001" customHeight="1">
      <c r="A7" s="201" t="s">
        <v>178</v>
      </c>
      <c r="B7" s="91">
        <v>127203</v>
      </c>
      <c r="C7" s="133"/>
    </row>
    <row r="8" spans="1:3" ht="20.100000000000001" customHeight="1">
      <c r="A8" s="201" t="s">
        <v>179</v>
      </c>
      <c r="B8" s="90"/>
      <c r="C8" s="134"/>
    </row>
    <row r="9" spans="1:3" ht="20.100000000000001" customHeight="1">
      <c r="A9" s="201" t="s">
        <v>180</v>
      </c>
      <c r="B9" s="114">
        <v>0</v>
      </c>
      <c r="C9" s="134"/>
    </row>
    <row r="10" spans="1:3" ht="20.100000000000001" customHeight="1">
      <c r="A10" s="201"/>
      <c r="B10" s="90"/>
      <c r="C10" s="134"/>
    </row>
    <row r="11" spans="1:3" ht="20.100000000000001" customHeight="1">
      <c r="A11" s="201" t="s">
        <v>181</v>
      </c>
      <c r="B11" s="114">
        <v>0</v>
      </c>
      <c r="C11" s="134"/>
    </row>
    <row r="12" spans="1:3" ht="20.100000000000001" customHeight="1">
      <c r="A12" s="201"/>
      <c r="B12" s="90"/>
      <c r="C12" s="134"/>
    </row>
    <row r="13" spans="1:3" ht="20.100000000000001" customHeight="1">
      <c r="A13" s="201" t="s">
        <v>182</v>
      </c>
      <c r="B13" s="114">
        <v>0</v>
      </c>
      <c r="C13" s="134"/>
    </row>
    <row r="14" spans="1:3" ht="20.100000000000001" customHeight="1">
      <c r="A14" s="201"/>
      <c r="B14" s="90"/>
      <c r="C14" s="134"/>
    </row>
    <row r="15" spans="1:3" ht="20.100000000000001" customHeight="1">
      <c r="A15" s="201" t="s">
        <v>490</v>
      </c>
      <c r="B15" s="114">
        <v>0</v>
      </c>
      <c r="C15" s="134"/>
    </row>
    <row r="16" spans="1:3" ht="20.100000000000001" customHeight="1">
      <c r="A16" s="201"/>
      <c r="B16" s="90"/>
      <c r="C16" s="134"/>
    </row>
    <row r="17" spans="1:3" ht="20.100000000000001" customHeight="1">
      <c r="A17" s="201" t="s">
        <v>183</v>
      </c>
      <c r="B17" s="114">
        <v>0</v>
      </c>
      <c r="C17" s="134"/>
    </row>
    <row r="18" spans="1:3" ht="20.100000000000001" customHeight="1">
      <c r="A18" s="201"/>
      <c r="B18" s="114"/>
      <c r="C18" s="134"/>
    </row>
    <row r="19" spans="1:3" ht="20.100000000000001" customHeight="1">
      <c r="A19" s="201" t="s">
        <v>184</v>
      </c>
      <c r="B19" s="90"/>
      <c r="C19" s="134"/>
    </row>
    <row r="20" spans="1:3" ht="20.100000000000001" customHeight="1">
      <c r="A20" s="201" t="s">
        <v>185</v>
      </c>
      <c r="B20" s="114">
        <v>0</v>
      </c>
      <c r="C20" s="134"/>
    </row>
    <row r="21" spans="1:3" ht="20.100000000000001" customHeight="1">
      <c r="A21" s="201"/>
      <c r="B21" s="90"/>
      <c r="C21" s="134"/>
    </row>
    <row r="22" spans="1:3" ht="20.100000000000001" customHeight="1">
      <c r="A22" s="201" t="s">
        <v>186</v>
      </c>
      <c r="B22" s="114">
        <v>0</v>
      </c>
      <c r="C22" s="134"/>
    </row>
    <row r="23" spans="1:3" ht="20.100000000000001" customHeight="1">
      <c r="A23" s="201"/>
      <c r="B23" s="90"/>
      <c r="C23" s="134"/>
    </row>
    <row r="24" spans="1:3" ht="20.100000000000001" customHeight="1">
      <c r="A24" s="201" t="s">
        <v>183</v>
      </c>
      <c r="B24" s="114">
        <v>0</v>
      </c>
      <c r="C24" s="134"/>
    </row>
    <row r="25" spans="1:3" ht="20.100000000000001" customHeight="1">
      <c r="A25" s="132"/>
      <c r="B25" s="90"/>
      <c r="C25" s="134"/>
    </row>
    <row r="26" spans="1:3" ht="20.100000000000001" customHeight="1">
      <c r="A26" s="132"/>
      <c r="B26" s="90"/>
      <c r="C26" s="134"/>
    </row>
    <row r="27" spans="1:3" ht="20.100000000000001" customHeight="1">
      <c r="A27" s="132"/>
      <c r="B27" s="90"/>
      <c r="C27" s="134"/>
    </row>
    <row r="28" spans="1:3" ht="20.100000000000001" customHeight="1">
      <c r="A28" s="132"/>
      <c r="B28" s="90"/>
      <c r="C28" s="134"/>
    </row>
    <row r="29" spans="1:3" ht="20.100000000000001" customHeight="1">
      <c r="A29" s="132"/>
      <c r="B29" s="90"/>
      <c r="C29" s="134"/>
    </row>
    <row r="30" spans="1:3" ht="20.100000000000001" customHeight="1">
      <c r="A30" s="132"/>
      <c r="B30" s="90"/>
      <c r="C30" s="134"/>
    </row>
    <row r="31" spans="1:3" ht="20.100000000000001" customHeight="1">
      <c r="A31" s="132"/>
      <c r="B31" s="90"/>
      <c r="C31" s="134"/>
    </row>
    <row r="32" spans="1:3" ht="20.100000000000001" customHeight="1">
      <c r="A32" s="132"/>
      <c r="B32" s="90"/>
      <c r="C32" s="134"/>
    </row>
    <row r="33" spans="1:3" ht="20.100000000000001" customHeight="1">
      <c r="A33" s="132"/>
      <c r="B33" s="90"/>
      <c r="C33" s="134"/>
    </row>
    <row r="34" spans="1:3" ht="20.100000000000001" customHeight="1">
      <c r="A34" s="132"/>
      <c r="B34" s="90"/>
      <c r="C34" s="134"/>
    </row>
    <row r="35" spans="1:3" ht="20.100000000000001" customHeight="1">
      <c r="A35" s="132"/>
      <c r="B35" s="90"/>
      <c r="C35" s="134"/>
    </row>
    <row r="36" spans="1:3" ht="20.100000000000001" customHeight="1">
      <c r="A36" s="132"/>
      <c r="B36" s="90"/>
      <c r="C36" s="134"/>
    </row>
    <row r="37" spans="1:3" ht="20.100000000000001" customHeight="1">
      <c r="A37" s="132"/>
      <c r="B37" s="90"/>
      <c r="C37" s="134"/>
    </row>
    <row r="38" spans="1:3" ht="13.15" customHeight="1">
      <c r="A38" s="132"/>
      <c r="B38" s="90"/>
      <c r="C38" s="134"/>
    </row>
    <row r="39" spans="1:3" ht="23.25" customHeight="1" thickBot="1">
      <c r="A39" s="202" t="s">
        <v>187</v>
      </c>
      <c r="B39" s="135">
        <f>B7+B9+B11+B13+B15+B17-B20-B22-B24</f>
        <v>127203</v>
      </c>
      <c r="C39" s="136"/>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1" orientation="portrait" useFirstPageNumber="1" r:id="rId1"/>
  <headerFooter alignWithMargins="0">
    <oddFooter>&amp;C&amp;"Arial,標準"&amp;P</oddFooter>
  </headerFooter>
</worksheet>
</file>

<file path=xl/worksheets/sheet31.xml><?xml version="1.0" encoding="utf-8"?>
<worksheet xmlns="http://schemas.openxmlformats.org/spreadsheetml/2006/main" xmlns:r="http://schemas.openxmlformats.org/officeDocument/2006/relationships">
  <sheetPr codeName="Sheet34"/>
  <dimension ref="A16:I16"/>
  <sheetViews>
    <sheetView zoomScale="50" workbookViewId="0">
      <selection activeCell="S35" sqref="S35"/>
    </sheetView>
  </sheetViews>
  <sheetFormatPr defaultColWidth="9" defaultRowHeight="16.5"/>
  <cols>
    <col min="1" max="8" width="9" style="1"/>
    <col min="9" max="9" width="14.125" style="1" customWidth="1"/>
    <col min="10" max="16384" width="9" style="1"/>
  </cols>
  <sheetData>
    <row r="16" spans="1:9" ht="50.25">
      <c r="A16" s="995" t="s">
        <v>677</v>
      </c>
      <c r="B16" s="995"/>
      <c r="C16" s="995"/>
      <c r="D16" s="995"/>
      <c r="E16" s="995"/>
      <c r="F16" s="995"/>
      <c r="G16" s="995"/>
      <c r="H16" s="995"/>
      <c r="I16" s="995"/>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34" orientation="portrait" useFirstPageNumber="1" r:id="rId1"/>
  <headerFooter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5"/>
  <cols>
    <col min="1" max="8" width="9" style="1"/>
    <col min="9" max="9" width="14.125" style="1" customWidth="1"/>
    <col min="10" max="16384" width="9" style="1"/>
  </cols>
  <sheetData>
    <row r="16" spans="1:9" ht="50.25">
      <c r="A16" s="995" t="s">
        <v>363</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6"/>
  <dimension ref="A16:I16"/>
  <sheetViews>
    <sheetView zoomScale="50" workbookViewId="0">
      <selection activeCell="V38" sqref="V38"/>
    </sheetView>
  </sheetViews>
  <sheetFormatPr defaultColWidth="9" defaultRowHeight="16.5"/>
  <cols>
    <col min="1" max="8" width="9" style="1"/>
    <col min="9" max="9" width="14.125" style="1" customWidth="1"/>
    <col min="10" max="16384" width="9" style="1"/>
  </cols>
  <sheetData>
    <row r="16" spans="1:9" ht="50.25">
      <c r="A16" s="995" t="s">
        <v>379</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5"/>
  <cols>
    <col min="1" max="8" width="9" style="1"/>
    <col min="9" max="9" width="14.125" style="1" customWidth="1"/>
    <col min="10" max="16384" width="9" style="1"/>
  </cols>
  <sheetData>
    <row r="16" spans="1:9" ht="50.25">
      <c r="A16" s="995" t="s">
        <v>519</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5.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A22" sqref="A22"/>
    </sheetView>
  </sheetViews>
  <sheetFormatPr defaultColWidth="9" defaultRowHeight="16.5"/>
  <cols>
    <col min="1" max="1" width="14.625" style="71" customWidth="1"/>
    <col min="2" max="2" width="29.25" style="37" customWidth="1"/>
    <col min="3" max="3" width="16" style="71" customWidth="1"/>
    <col min="4" max="4" width="15.875" style="37" customWidth="1"/>
    <col min="5" max="5" width="15.75" style="71" customWidth="1"/>
    <col min="6" max="6" width="14.625" style="71" customWidth="1"/>
    <col min="7" max="7" width="29.25" style="37" customWidth="1"/>
    <col min="8" max="8" width="16" style="71" customWidth="1"/>
    <col min="9" max="9" width="15.875" style="37" customWidth="1"/>
    <col min="10" max="10" width="15.75" style="71" customWidth="1"/>
    <col min="11" max="16384" width="9" style="37"/>
  </cols>
  <sheetData>
    <row r="1" spans="1:10" ht="25.5">
      <c r="A1" s="1266" t="s">
        <v>523</v>
      </c>
      <c r="B1" s="1266"/>
      <c r="C1" s="1266"/>
      <c r="D1" s="1266"/>
      <c r="E1" s="1266"/>
      <c r="F1" s="1262" t="s">
        <v>522</v>
      </c>
      <c r="G1" s="1262"/>
      <c r="H1" s="1262"/>
      <c r="I1" s="1262"/>
      <c r="J1" s="1262"/>
    </row>
    <row r="2" spans="1:10" ht="21">
      <c r="A2" s="1265" t="s">
        <v>525</v>
      </c>
      <c r="B2" s="1265"/>
      <c r="C2" s="1265"/>
      <c r="D2" s="1265"/>
      <c r="E2" s="1265"/>
      <c r="F2" s="1263" t="s">
        <v>524</v>
      </c>
      <c r="G2" s="1263"/>
      <c r="H2" s="1263"/>
      <c r="I2" s="1263"/>
      <c r="J2" s="1263"/>
    </row>
    <row r="3" spans="1:10" ht="21">
      <c r="A3" s="1267" t="s">
        <v>521</v>
      </c>
      <c r="B3" s="1267"/>
      <c r="C3" s="1267"/>
      <c r="D3" s="1267"/>
      <c r="E3" s="1267"/>
      <c r="F3" s="1264" t="s">
        <v>520</v>
      </c>
      <c r="G3" s="1264"/>
      <c r="H3" s="1264"/>
      <c r="I3" s="1264"/>
      <c r="J3" s="1264"/>
    </row>
    <row r="4" spans="1:10" s="191" customFormat="1" ht="19.5">
      <c r="A4" s="1261" t="s">
        <v>791</v>
      </c>
      <c r="B4" s="1261"/>
      <c r="C4" s="1261"/>
      <c r="D4" s="1261"/>
      <c r="E4" s="1261"/>
      <c r="F4" s="393" t="s">
        <v>526</v>
      </c>
      <c r="G4" s="393"/>
      <c r="H4" s="393"/>
      <c r="I4" s="393"/>
      <c r="J4" s="393"/>
    </row>
    <row r="5" spans="1:10" ht="17.25" thickBot="1">
      <c r="A5" s="1260" t="s">
        <v>625</v>
      </c>
      <c r="B5" s="1260"/>
      <c r="C5" s="1260"/>
      <c r="D5" s="1260"/>
      <c r="E5" s="1260"/>
      <c r="F5" s="1260"/>
      <c r="G5" s="1260"/>
      <c r="H5" s="1260"/>
      <c r="I5" s="1260"/>
      <c r="J5" s="1260"/>
    </row>
    <row r="6" spans="1:10" ht="42" customHeight="1">
      <c r="A6" s="389" t="s">
        <v>793</v>
      </c>
      <c r="B6" s="374" t="s">
        <v>354</v>
      </c>
      <c r="C6" s="390" t="s">
        <v>803</v>
      </c>
      <c r="D6" s="390" t="s">
        <v>804</v>
      </c>
      <c r="E6" s="391" t="s">
        <v>353</v>
      </c>
      <c r="F6" s="389" t="s">
        <v>805</v>
      </c>
      <c r="G6" s="374" t="s">
        <v>354</v>
      </c>
      <c r="H6" s="390" t="s">
        <v>803</v>
      </c>
      <c r="I6" s="390" t="s">
        <v>804</v>
      </c>
      <c r="J6" s="391" t="s">
        <v>353</v>
      </c>
    </row>
    <row r="7" spans="1:10" s="73" customFormat="1" ht="20.100000000000001" customHeight="1">
      <c r="A7" s="375">
        <f>A8+A17+A30+A34</f>
        <v>427531.6</v>
      </c>
      <c r="B7" s="343" t="s">
        <v>418</v>
      </c>
      <c r="C7" s="325">
        <f>C8+C17+C30+C34</f>
        <v>437430</v>
      </c>
      <c r="D7" s="325">
        <f>D8+D17+D30+D34</f>
        <v>427638</v>
      </c>
      <c r="E7" s="376">
        <f>E8+E17+E30+E34</f>
        <v>9792</v>
      </c>
      <c r="F7" s="382">
        <f>F8+F18</f>
        <v>248564</v>
      </c>
      <c r="G7" s="344" t="s">
        <v>419</v>
      </c>
      <c r="H7" s="257">
        <f>H8+H18</f>
        <v>247670</v>
      </c>
      <c r="I7" s="257">
        <f>I8+I18</f>
        <v>245580</v>
      </c>
      <c r="J7" s="326">
        <f>J8+J18</f>
        <v>2090</v>
      </c>
    </row>
    <row r="8" spans="1:10" s="73" customFormat="1" ht="20.100000000000001" customHeight="1">
      <c r="A8" s="268">
        <f>A9+A14+A11</f>
        <v>345538</v>
      </c>
      <c r="B8" s="171" t="s">
        <v>135</v>
      </c>
      <c r="C8" s="171">
        <f>C9+C14+C11</f>
        <v>371492</v>
      </c>
      <c r="D8" s="171">
        <f>D9+D14+D11</f>
        <v>350392</v>
      </c>
      <c r="E8" s="177">
        <f>E9+E14+E11</f>
        <v>21100</v>
      </c>
      <c r="F8" s="268">
        <f>F9+F15</f>
        <v>229099</v>
      </c>
      <c r="G8" s="171" t="s">
        <v>174</v>
      </c>
      <c r="H8" s="171">
        <f>H9+H15</f>
        <v>228170</v>
      </c>
      <c r="I8" s="171">
        <f>I9+I15</f>
        <v>225580</v>
      </c>
      <c r="J8" s="177">
        <f>J9+J15</f>
        <v>2590</v>
      </c>
    </row>
    <row r="9" spans="1:10" s="73" customFormat="1" ht="20.100000000000001" customHeight="1">
      <c r="A9" s="268">
        <f>A10</f>
        <v>334812</v>
      </c>
      <c r="B9" s="171" t="s">
        <v>168</v>
      </c>
      <c r="C9" s="171">
        <f>C10</f>
        <v>360128</v>
      </c>
      <c r="D9" s="171">
        <f>D10</f>
        <v>340092</v>
      </c>
      <c r="E9" s="177">
        <f>E10</f>
        <v>20036</v>
      </c>
      <c r="F9" s="268">
        <f>SUM(F10:F14)</f>
        <v>114099</v>
      </c>
      <c r="G9" s="171" t="s">
        <v>351</v>
      </c>
      <c r="H9" s="171">
        <f>SUM(H10:H14)</f>
        <v>118170</v>
      </c>
      <c r="I9" s="171">
        <f>SUM(I10:I14)</f>
        <v>115580</v>
      </c>
      <c r="J9" s="177">
        <f>SUM(J10:J14)</f>
        <v>2590</v>
      </c>
    </row>
    <row r="10" spans="1:10" ht="22.15" customHeight="1">
      <c r="A10" s="377">
        <v>334812</v>
      </c>
      <c r="B10" s="176" t="s">
        <v>162</v>
      </c>
      <c r="C10" s="176">
        <v>360128</v>
      </c>
      <c r="D10" s="176">
        <v>340092</v>
      </c>
      <c r="E10" s="177">
        <f>C10-D10</f>
        <v>20036</v>
      </c>
      <c r="F10" s="383">
        <v>129</v>
      </c>
      <c r="G10" s="155" t="s">
        <v>501</v>
      </c>
      <c r="H10" s="171">
        <v>170</v>
      </c>
      <c r="I10" s="171">
        <v>170</v>
      </c>
      <c r="J10" s="177">
        <f>H10-I10</f>
        <v>0</v>
      </c>
    </row>
    <row r="11" spans="1:10" s="73" customFormat="1" ht="20.100000000000001" customHeight="1">
      <c r="A11" s="268">
        <f>A12+A13</f>
        <v>1348</v>
      </c>
      <c r="B11" s="171" t="s">
        <v>491</v>
      </c>
      <c r="C11" s="171">
        <f>C12+C13</f>
        <v>1364</v>
      </c>
      <c r="D11" s="171">
        <f>D12+D13</f>
        <v>1800</v>
      </c>
      <c r="E11" s="177">
        <f>E12+E13</f>
        <v>-436</v>
      </c>
      <c r="F11" s="383">
        <v>11781</v>
      </c>
      <c r="G11" s="155" t="s">
        <v>502</v>
      </c>
      <c r="H11" s="171">
        <v>14000</v>
      </c>
      <c r="I11" s="171">
        <v>13410</v>
      </c>
      <c r="J11" s="177">
        <f>H11-I11</f>
        <v>590</v>
      </c>
    </row>
    <row r="12" spans="1:10" ht="22.15" customHeight="1">
      <c r="A12" s="377">
        <v>44</v>
      </c>
      <c r="B12" s="176" t="s">
        <v>492</v>
      </c>
      <c r="C12" s="171">
        <v>60</v>
      </c>
      <c r="D12" s="171">
        <v>50</v>
      </c>
      <c r="E12" s="177">
        <f>C12-D12</f>
        <v>10</v>
      </c>
      <c r="F12" s="383">
        <v>97462</v>
      </c>
      <c r="G12" s="155" t="s">
        <v>503</v>
      </c>
      <c r="H12" s="171">
        <v>101000</v>
      </c>
      <c r="I12" s="171">
        <v>100000</v>
      </c>
      <c r="J12" s="177">
        <f>H12-I12</f>
        <v>1000</v>
      </c>
    </row>
    <row r="13" spans="1:10" ht="22.15" customHeight="1">
      <c r="A13" s="377">
        <v>1304</v>
      </c>
      <c r="B13" s="176" t="s">
        <v>493</v>
      </c>
      <c r="C13" s="171">
        <v>1304</v>
      </c>
      <c r="D13" s="171">
        <v>1750</v>
      </c>
      <c r="E13" s="177">
        <f>C13-D13</f>
        <v>-446</v>
      </c>
      <c r="F13" s="383"/>
      <c r="G13" s="155" t="s">
        <v>504</v>
      </c>
      <c r="H13" s="171">
        <v>0</v>
      </c>
      <c r="I13" s="171">
        <v>0</v>
      </c>
      <c r="J13" s="177">
        <f>H13-I13</f>
        <v>0</v>
      </c>
    </row>
    <row r="14" spans="1:10" s="73" customFormat="1" ht="20.100000000000001" customHeight="1">
      <c r="A14" s="268">
        <f>A15</f>
        <v>9378</v>
      </c>
      <c r="B14" s="171" t="s">
        <v>169</v>
      </c>
      <c r="C14" s="171">
        <f>C15</f>
        <v>10000</v>
      </c>
      <c r="D14" s="171">
        <f>D15</f>
        <v>8500</v>
      </c>
      <c r="E14" s="177">
        <f>E15</f>
        <v>1500</v>
      </c>
      <c r="F14" s="383">
        <v>4727</v>
      </c>
      <c r="G14" s="155" t="s">
        <v>505</v>
      </c>
      <c r="H14" s="171">
        <v>3000</v>
      </c>
      <c r="I14" s="171">
        <v>2000</v>
      </c>
      <c r="J14" s="177">
        <f>H14-I14</f>
        <v>1000</v>
      </c>
    </row>
    <row r="15" spans="1:10" ht="22.15" customHeight="1">
      <c r="A15" s="377">
        <v>9378</v>
      </c>
      <c r="B15" s="176" t="s">
        <v>170</v>
      </c>
      <c r="C15" s="176">
        <v>10000</v>
      </c>
      <c r="D15" s="176">
        <v>8500</v>
      </c>
      <c r="E15" s="177">
        <f>C15-D15</f>
        <v>1500</v>
      </c>
      <c r="F15" s="268">
        <f>SUM(F16:F16)</f>
        <v>115000</v>
      </c>
      <c r="G15" s="171" t="s">
        <v>352</v>
      </c>
      <c r="H15" s="171">
        <f>SUM(H16:H16)</f>
        <v>110000</v>
      </c>
      <c r="I15" s="171">
        <f>SUM(I16:I16)</f>
        <v>110000</v>
      </c>
      <c r="J15" s="177">
        <f>SUM(J16:J16)</f>
        <v>0</v>
      </c>
    </row>
    <row r="16" spans="1:10" ht="23.1" customHeight="1">
      <c r="A16" s="377"/>
      <c r="B16" s="176"/>
      <c r="C16" s="176"/>
      <c r="D16" s="176"/>
      <c r="E16" s="177"/>
      <c r="F16" s="383">
        <v>115000</v>
      </c>
      <c r="G16" s="155" t="s">
        <v>506</v>
      </c>
      <c r="H16" s="155">
        <v>110000</v>
      </c>
      <c r="I16" s="155">
        <v>110000</v>
      </c>
      <c r="J16" s="177">
        <f>H16-I16</f>
        <v>0</v>
      </c>
    </row>
    <row r="17" spans="1:10" s="73" customFormat="1" ht="20.100000000000001" customHeight="1">
      <c r="A17" s="268">
        <f>A18+A21+A25+A28</f>
        <v>44219.3</v>
      </c>
      <c r="B17" s="171" t="s">
        <v>134</v>
      </c>
      <c r="C17" s="171">
        <f>C18+C21+C25+C28</f>
        <v>42324</v>
      </c>
      <c r="D17" s="171">
        <f>D18+D21+D25+D28</f>
        <v>42669</v>
      </c>
      <c r="E17" s="177">
        <f>E18+E21+E25+E28</f>
        <v>-345</v>
      </c>
      <c r="F17" s="383"/>
      <c r="G17" s="155"/>
      <c r="H17" s="155"/>
      <c r="I17" s="155"/>
      <c r="J17" s="177"/>
    </row>
    <row r="18" spans="1:10" s="73" customFormat="1" ht="20.100000000000001" customHeight="1">
      <c r="A18" s="268">
        <f>A19-A20</f>
        <v>39251</v>
      </c>
      <c r="B18" s="348" t="s">
        <v>494</v>
      </c>
      <c r="C18" s="171">
        <f>C19-C20</f>
        <v>40084</v>
      </c>
      <c r="D18" s="171">
        <f>D19-D20</f>
        <v>39949</v>
      </c>
      <c r="E18" s="177">
        <f>E19-E20</f>
        <v>135</v>
      </c>
      <c r="F18" s="268">
        <f>F19</f>
        <v>19465</v>
      </c>
      <c r="G18" s="171" t="s">
        <v>507</v>
      </c>
      <c r="H18" s="171">
        <f>H19</f>
        <v>19500</v>
      </c>
      <c r="I18" s="171">
        <f>I19</f>
        <v>20000</v>
      </c>
      <c r="J18" s="177">
        <f>J19</f>
        <v>-500</v>
      </c>
    </row>
    <row r="19" spans="1:10" s="356" customFormat="1" ht="20.100000000000001" customHeight="1">
      <c r="A19" s="378">
        <v>151370</v>
      </c>
      <c r="B19" s="357" t="s">
        <v>494</v>
      </c>
      <c r="C19" s="355">
        <v>186783</v>
      </c>
      <c r="D19" s="355">
        <v>170268</v>
      </c>
      <c r="E19" s="177">
        <f>C19-D19</f>
        <v>16515</v>
      </c>
      <c r="F19" s="268">
        <f>F20+F21</f>
        <v>19465</v>
      </c>
      <c r="G19" s="171" t="s">
        <v>508</v>
      </c>
      <c r="H19" s="171">
        <f>H20+H21</f>
        <v>19500</v>
      </c>
      <c r="I19" s="171">
        <f>I20+I21</f>
        <v>20000</v>
      </c>
      <c r="J19" s="177">
        <f>J20+J21</f>
        <v>-500</v>
      </c>
    </row>
    <row r="20" spans="1:10" s="351" customFormat="1" ht="34.5" customHeight="1">
      <c r="A20" s="379">
        <v>112119</v>
      </c>
      <c r="B20" s="350" t="s">
        <v>495</v>
      </c>
      <c r="C20" s="433">
        <v>146699</v>
      </c>
      <c r="D20" s="433">
        <v>130319</v>
      </c>
      <c r="E20" s="177">
        <f>C20-D20</f>
        <v>16380</v>
      </c>
      <c r="F20" s="383">
        <v>11819</v>
      </c>
      <c r="G20" s="155" t="s">
        <v>509</v>
      </c>
      <c r="H20" s="171">
        <v>11000</v>
      </c>
      <c r="I20" s="171">
        <v>12000</v>
      </c>
      <c r="J20" s="177">
        <f>H20-I20</f>
        <v>-1000</v>
      </c>
    </row>
    <row r="21" spans="1:10" s="73" customFormat="1" ht="20.100000000000001" customHeight="1">
      <c r="A21" s="268">
        <f>A22-A23</f>
        <v>3065</v>
      </c>
      <c r="B21" s="348" t="s">
        <v>254</v>
      </c>
      <c r="C21" s="171">
        <f>C22-C23</f>
        <v>1045</v>
      </c>
      <c r="D21" s="171">
        <f>D22-D23</f>
        <v>2065</v>
      </c>
      <c r="E21" s="177">
        <f>E22-E23</f>
        <v>-1020</v>
      </c>
      <c r="F21" s="383">
        <v>7646</v>
      </c>
      <c r="G21" s="155" t="s">
        <v>510</v>
      </c>
      <c r="H21" s="171">
        <v>8500</v>
      </c>
      <c r="I21" s="171">
        <v>8000</v>
      </c>
      <c r="J21" s="177">
        <f>H21-I21</f>
        <v>500</v>
      </c>
    </row>
    <row r="22" spans="1:10" s="356" customFormat="1" ht="20.100000000000001" customHeight="1">
      <c r="A22" s="380">
        <v>12715</v>
      </c>
      <c r="B22" s="353" t="s">
        <v>254</v>
      </c>
      <c r="C22" s="354">
        <v>12715</v>
      </c>
      <c r="D22" s="354">
        <v>12715</v>
      </c>
      <c r="E22" s="177">
        <f>C22-D22</f>
        <v>0</v>
      </c>
      <c r="F22" s="383"/>
      <c r="G22" s="155"/>
      <c r="H22" s="171"/>
      <c r="I22" s="171"/>
      <c r="J22" s="177"/>
    </row>
    <row r="23" spans="1:10" s="351" customFormat="1" ht="36" customHeight="1">
      <c r="A23" s="381">
        <v>9650</v>
      </c>
      <c r="B23" s="350" t="s">
        <v>650</v>
      </c>
      <c r="C23" s="352">
        <v>11670</v>
      </c>
      <c r="D23" s="352">
        <v>10650</v>
      </c>
      <c r="E23" s="177">
        <f>C23-D23</f>
        <v>1020</v>
      </c>
      <c r="F23" s="383"/>
      <c r="G23" s="155"/>
      <c r="H23" s="171"/>
      <c r="I23" s="171"/>
      <c r="J23" s="177"/>
    </row>
    <row r="24" spans="1:10" s="351" customFormat="1" ht="23.1" hidden="1" customHeight="1">
      <c r="A24" s="381"/>
      <c r="B24" s="350"/>
      <c r="C24" s="352"/>
      <c r="D24" s="352"/>
      <c r="E24" s="177"/>
      <c r="F24" s="383"/>
      <c r="G24" s="155"/>
      <c r="H24" s="171"/>
      <c r="I24" s="171"/>
      <c r="J24" s="177"/>
    </row>
    <row r="25" spans="1:10" s="73" customFormat="1" ht="20.100000000000001" customHeight="1">
      <c r="A25" s="268">
        <f>A26-A27</f>
        <v>1903.2999999999993</v>
      </c>
      <c r="B25" s="348" t="s">
        <v>496</v>
      </c>
      <c r="C25" s="171">
        <f>C26-C27</f>
        <v>1195</v>
      </c>
      <c r="D25" s="171">
        <f>D26-D27</f>
        <v>655</v>
      </c>
      <c r="E25" s="177">
        <f>E26-E27</f>
        <v>540</v>
      </c>
      <c r="F25" s="382">
        <f>F26+F30+F34</f>
        <v>178968</v>
      </c>
      <c r="G25" s="344" t="s">
        <v>428</v>
      </c>
      <c r="H25" s="257">
        <f>H26+H30+H34</f>
        <v>189760</v>
      </c>
      <c r="I25" s="257">
        <f>I26+I30+I34</f>
        <v>182058</v>
      </c>
      <c r="J25" s="257">
        <f>J26+J30+J34</f>
        <v>7702</v>
      </c>
    </row>
    <row r="26" spans="1:10" ht="20.100000000000001" customHeight="1">
      <c r="A26" s="377">
        <v>25650</v>
      </c>
      <c r="B26" s="349" t="s">
        <v>496</v>
      </c>
      <c r="C26" s="176">
        <v>28642</v>
      </c>
      <c r="D26" s="176">
        <v>25902</v>
      </c>
      <c r="E26" s="177">
        <f>C26-D26</f>
        <v>2740</v>
      </c>
      <c r="F26" s="268">
        <f>F27</f>
        <v>127203</v>
      </c>
      <c r="G26" s="171" t="s">
        <v>653</v>
      </c>
      <c r="H26" s="171">
        <f t="shared" ref="H26:J27" si="0">H27</f>
        <v>127203</v>
      </c>
      <c r="I26" s="171">
        <f t="shared" si="0"/>
        <v>127203</v>
      </c>
      <c r="J26" s="177">
        <f t="shared" si="0"/>
        <v>0</v>
      </c>
    </row>
    <row r="27" spans="1:10" ht="20.100000000000001" customHeight="1">
      <c r="A27" s="377">
        <v>23746.7</v>
      </c>
      <c r="B27" s="176" t="s">
        <v>497</v>
      </c>
      <c r="C27" s="176">
        <v>27447</v>
      </c>
      <c r="D27" s="176">
        <v>25247</v>
      </c>
      <c r="E27" s="177">
        <f>C27-D27</f>
        <v>2200</v>
      </c>
      <c r="F27" s="268">
        <f>F28</f>
        <v>127203</v>
      </c>
      <c r="G27" s="171" t="s">
        <v>137</v>
      </c>
      <c r="H27" s="171">
        <f t="shared" si="0"/>
        <v>127203</v>
      </c>
      <c r="I27" s="171">
        <f t="shared" si="0"/>
        <v>127203</v>
      </c>
      <c r="J27" s="177">
        <f t="shared" si="0"/>
        <v>0</v>
      </c>
    </row>
    <row r="28" spans="1:10" s="73" customFormat="1" ht="20.100000000000001" customHeight="1">
      <c r="A28" s="268"/>
      <c r="B28" s="171"/>
      <c r="C28" s="171"/>
      <c r="D28" s="171"/>
      <c r="E28" s="177"/>
      <c r="F28" s="383">
        <v>127203</v>
      </c>
      <c r="G28" s="155" t="s">
        <v>138</v>
      </c>
      <c r="H28" s="155">
        <v>127203</v>
      </c>
      <c r="I28" s="155">
        <v>127203</v>
      </c>
      <c r="J28" s="177">
        <f>H28-I28</f>
        <v>0</v>
      </c>
    </row>
    <row r="29" spans="1:10" ht="20.100000000000001" customHeight="1">
      <c r="A29" s="268"/>
      <c r="B29" s="358"/>
      <c r="C29" s="171"/>
      <c r="D29" s="171"/>
      <c r="E29" s="177"/>
      <c r="F29" s="383"/>
      <c r="G29" s="155"/>
      <c r="H29" s="155"/>
      <c r="I29" s="155"/>
      <c r="J29" s="177"/>
    </row>
    <row r="30" spans="1:10" ht="23.1" customHeight="1">
      <c r="A30" s="268">
        <f>A31</f>
        <v>37774.300000000003</v>
      </c>
      <c r="B30" s="171" t="s">
        <v>171</v>
      </c>
      <c r="C30" s="171">
        <f t="shared" ref="C30:E31" si="1">C31</f>
        <v>23613</v>
      </c>
      <c r="D30" s="171">
        <f t="shared" si="1"/>
        <v>34576</v>
      </c>
      <c r="E30" s="177">
        <f t="shared" si="1"/>
        <v>-10963</v>
      </c>
      <c r="F30" s="268">
        <f>F31</f>
        <v>160</v>
      </c>
      <c r="G30" s="402" t="s">
        <v>794</v>
      </c>
      <c r="H30" s="171">
        <f>H31</f>
        <v>160</v>
      </c>
      <c r="I30" s="171">
        <f>I31</f>
        <v>160</v>
      </c>
      <c r="J30" s="177">
        <f>J31</f>
        <v>0</v>
      </c>
    </row>
    <row r="31" spans="1:10" s="73" customFormat="1" ht="20.100000000000001" customHeight="1">
      <c r="A31" s="268">
        <f>A32</f>
        <v>37774.300000000003</v>
      </c>
      <c r="B31" s="171" t="s">
        <v>172</v>
      </c>
      <c r="C31" s="171">
        <f t="shared" si="1"/>
        <v>23613</v>
      </c>
      <c r="D31" s="171">
        <f t="shared" si="1"/>
        <v>34576</v>
      </c>
      <c r="E31" s="177">
        <f t="shared" si="1"/>
        <v>-10963</v>
      </c>
      <c r="F31" s="268">
        <f>SUM(F32)</f>
        <v>160</v>
      </c>
      <c r="G31" s="402" t="s">
        <v>795</v>
      </c>
      <c r="H31" s="171">
        <f>SUM(H32)</f>
        <v>160</v>
      </c>
      <c r="I31" s="171">
        <f>SUM(I32)</f>
        <v>160</v>
      </c>
      <c r="J31" s="177">
        <f>SUM(J32)</f>
        <v>0</v>
      </c>
    </row>
    <row r="32" spans="1:10" s="73" customFormat="1" ht="19.5" customHeight="1">
      <c r="A32" s="377">
        <v>37774.300000000003</v>
      </c>
      <c r="B32" s="176" t="s">
        <v>173</v>
      </c>
      <c r="C32" s="176">
        <v>23613</v>
      </c>
      <c r="D32" s="176">
        <v>34576</v>
      </c>
      <c r="E32" s="177">
        <f>C32-D32</f>
        <v>-10963</v>
      </c>
      <c r="F32" s="384">
        <v>160</v>
      </c>
      <c r="G32" s="412" t="s">
        <v>796</v>
      </c>
      <c r="H32" s="555">
        <v>160</v>
      </c>
      <c r="I32" s="555">
        <v>160</v>
      </c>
      <c r="J32" s="177">
        <f>H32-I32</f>
        <v>0</v>
      </c>
    </row>
    <row r="33" spans="1:10" ht="22.15" customHeight="1">
      <c r="A33" s="377"/>
      <c r="B33" s="176"/>
      <c r="C33" s="176"/>
      <c r="D33" s="176"/>
      <c r="E33" s="177"/>
      <c r="F33" s="384"/>
      <c r="G33" s="178"/>
      <c r="H33" s="178"/>
      <c r="I33" s="178"/>
      <c r="J33" s="177"/>
    </row>
    <row r="34" spans="1:10" ht="23.1" customHeight="1">
      <c r="A34" s="268">
        <f>A35</f>
        <v>0</v>
      </c>
      <c r="B34" s="171" t="s">
        <v>498</v>
      </c>
      <c r="C34" s="171">
        <f t="shared" ref="C34:E35" si="2">C35</f>
        <v>1</v>
      </c>
      <c r="D34" s="171">
        <f t="shared" si="2"/>
        <v>1</v>
      </c>
      <c r="E34" s="177">
        <f t="shared" si="2"/>
        <v>0</v>
      </c>
      <c r="F34" s="268">
        <f>F35</f>
        <v>51605</v>
      </c>
      <c r="G34" s="178" t="s">
        <v>810</v>
      </c>
      <c r="H34" s="178">
        <f>H35</f>
        <v>62397</v>
      </c>
      <c r="I34" s="178">
        <f>I35</f>
        <v>54695</v>
      </c>
      <c r="J34" s="177">
        <f t="shared" ref="J34:J36" si="3">H34-I34</f>
        <v>7702</v>
      </c>
    </row>
    <row r="35" spans="1:10" s="73" customFormat="1" ht="20.100000000000001" customHeight="1">
      <c r="A35" s="268">
        <f>A36</f>
        <v>0</v>
      </c>
      <c r="B35" s="171" t="s">
        <v>499</v>
      </c>
      <c r="C35" s="171">
        <f t="shared" si="2"/>
        <v>1</v>
      </c>
      <c r="D35" s="171">
        <f t="shared" si="2"/>
        <v>1</v>
      </c>
      <c r="E35" s="177">
        <f t="shared" si="2"/>
        <v>0</v>
      </c>
      <c r="F35" s="268">
        <f>SUM(F36)</f>
        <v>51605</v>
      </c>
      <c r="G35" s="178" t="s">
        <v>139</v>
      </c>
      <c r="H35" s="178">
        <f>H36</f>
        <v>62397</v>
      </c>
      <c r="I35" s="178">
        <f>I36</f>
        <v>54695</v>
      </c>
      <c r="J35" s="177">
        <f t="shared" si="3"/>
        <v>7702</v>
      </c>
    </row>
    <row r="36" spans="1:10" s="73" customFormat="1" ht="19.5" customHeight="1">
      <c r="A36" s="377"/>
      <c r="B36" s="176" t="s">
        <v>500</v>
      </c>
      <c r="C36" s="171">
        <v>1</v>
      </c>
      <c r="D36" s="171">
        <v>1</v>
      </c>
      <c r="E36" s="177">
        <f>C36-D36</f>
        <v>0</v>
      </c>
      <c r="F36" s="384">
        <v>51605</v>
      </c>
      <c r="G36" s="178" t="s">
        <v>140</v>
      </c>
      <c r="H36" s="178">
        <v>62397</v>
      </c>
      <c r="I36" s="178">
        <v>54695</v>
      </c>
      <c r="J36" s="177">
        <f t="shared" si="3"/>
        <v>7702</v>
      </c>
    </row>
    <row r="37" spans="1:10" ht="45" customHeight="1" thickBot="1">
      <c r="A37" s="385">
        <f>A7</f>
        <v>427531.6</v>
      </c>
      <c r="B37" s="347" t="s">
        <v>429</v>
      </c>
      <c r="C37" s="345">
        <f>C7</f>
        <v>437430</v>
      </c>
      <c r="D37" s="345">
        <f>D7</f>
        <v>427638</v>
      </c>
      <c r="E37" s="386">
        <f>E7</f>
        <v>9792</v>
      </c>
      <c r="F37" s="385">
        <f>F7+F25</f>
        <v>427532</v>
      </c>
      <c r="G37" s="347" t="s">
        <v>511</v>
      </c>
      <c r="H37" s="345">
        <f>H7+H25</f>
        <v>437430</v>
      </c>
      <c r="I37" s="345">
        <f>I7+I25</f>
        <v>427638</v>
      </c>
      <c r="J37" s="386">
        <f>J7+J25</f>
        <v>9792</v>
      </c>
    </row>
  </sheetData>
  <mergeCells count="8">
    <mergeCell ref="A5:J5"/>
    <mergeCell ref="A4:E4"/>
    <mergeCell ref="F1:J1"/>
    <mergeCell ref="F2:J2"/>
    <mergeCell ref="F3:J3"/>
    <mergeCell ref="A2:E2"/>
    <mergeCell ref="A1:E1"/>
    <mergeCell ref="A3:E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alignWithMargins="0">
    <oddFooter>&amp;C&amp;"Arial Unicode MS,標準"&amp;P</oddFooter>
  </headerFooter>
</worksheet>
</file>

<file path=xl/worksheets/sheet36.xml><?xml version="1.0" encoding="utf-8"?>
<worksheet xmlns="http://schemas.openxmlformats.org/spreadsheetml/2006/main" xmlns:r="http://schemas.openxmlformats.org/officeDocument/2006/relationships">
  <sheetPr codeName="Sheet38">
    <tabColor rgb="FFFFFFCC"/>
  </sheetPr>
  <dimension ref="A1:E62"/>
  <sheetViews>
    <sheetView topLeftCell="A11" zoomScaleNormal="100" zoomScaleSheetLayoutView="100" workbookViewId="0">
      <selection activeCell="B23" sqref="B23"/>
    </sheetView>
  </sheetViews>
  <sheetFormatPr defaultColWidth="9" defaultRowHeight="16.5"/>
  <cols>
    <col min="1" max="1" width="14.625" style="926" customWidth="1"/>
    <col min="2" max="2" width="29.25" style="29" customWidth="1"/>
    <col min="3" max="3" width="16" style="926" customWidth="1"/>
    <col min="4" max="4" width="15.875" style="29" customWidth="1"/>
    <col min="5" max="5" width="15.75" style="926" customWidth="1"/>
    <col min="6" max="16384" width="9" style="29"/>
  </cols>
  <sheetData>
    <row r="1" spans="1:5" ht="25.5">
      <c r="A1" s="1057" t="s">
        <v>603</v>
      </c>
      <c r="B1" s="1057"/>
      <c r="C1" s="1057"/>
      <c r="D1" s="1057"/>
      <c r="E1" s="1057"/>
    </row>
    <row r="2" spans="1:5" ht="21">
      <c r="A2" s="1058" t="s">
        <v>602</v>
      </c>
      <c r="B2" s="1058"/>
      <c r="C2" s="1058"/>
      <c r="D2" s="1058"/>
      <c r="E2" s="1058"/>
    </row>
    <row r="3" spans="1:5" ht="21">
      <c r="A3" s="1059" t="s">
        <v>601</v>
      </c>
      <c r="B3" s="1059"/>
      <c r="C3" s="1059"/>
      <c r="D3" s="1059"/>
      <c r="E3" s="1059"/>
    </row>
    <row r="4" spans="1:5" s="921" customFormat="1" ht="19.5">
      <c r="A4" s="1060" t="s">
        <v>1052</v>
      </c>
      <c r="B4" s="1060"/>
      <c r="C4" s="1060"/>
      <c r="D4" s="1060"/>
      <c r="E4" s="1060"/>
    </row>
    <row r="5" spans="1:5" ht="17.25" thickBot="1">
      <c r="A5" s="1268" t="s">
        <v>619</v>
      </c>
      <c r="B5" s="1268"/>
      <c r="C5" s="1268"/>
      <c r="D5" s="1268"/>
      <c r="E5" s="1268"/>
    </row>
    <row r="6" spans="1:5" ht="35.25" customHeight="1">
      <c r="A6" s="922" t="s">
        <v>1053</v>
      </c>
      <c r="B6" s="776" t="s">
        <v>527</v>
      </c>
      <c r="C6" s="923" t="s">
        <v>1051</v>
      </c>
      <c r="D6" s="923" t="s">
        <v>1050</v>
      </c>
      <c r="E6" s="924" t="s">
        <v>1021</v>
      </c>
    </row>
    <row r="7" spans="1:5" s="871" customFormat="1" ht="19.149999999999999" customHeight="1">
      <c r="A7" s="971">
        <f>A8+A18+A28+A32-1</f>
        <v>605605</v>
      </c>
      <c r="B7" s="398" t="s">
        <v>528</v>
      </c>
      <c r="C7" s="399">
        <f>C8+C18+C28+C32</f>
        <v>575234</v>
      </c>
      <c r="D7" s="399">
        <f>D8+D18+D28+D32</f>
        <v>560118</v>
      </c>
      <c r="E7" s="400">
        <f>E8+E18+E28+E32</f>
        <v>15116</v>
      </c>
    </row>
    <row r="8" spans="1:5" s="871" customFormat="1" ht="19.149999999999999" customHeight="1">
      <c r="A8" s="401">
        <f>A9+A16+A13+A11+1</f>
        <v>527219</v>
      </c>
      <c r="B8" s="402" t="s">
        <v>135</v>
      </c>
      <c r="C8" s="402">
        <f>C9+C11+C13+C16</f>
        <v>487337</v>
      </c>
      <c r="D8" s="402">
        <f>D9+D11+D13+D16</f>
        <v>471136</v>
      </c>
      <c r="E8" s="403">
        <f>E9+E11+E13+E16</f>
        <v>16201</v>
      </c>
    </row>
    <row r="9" spans="1:5" s="871" customFormat="1" ht="19.149999999999999" customHeight="1">
      <c r="A9" s="401">
        <f>A10</f>
        <v>256806</v>
      </c>
      <c r="B9" s="402" t="s">
        <v>168</v>
      </c>
      <c r="C9" s="627">
        <f>C10</f>
        <v>213974</v>
      </c>
      <c r="D9" s="627">
        <f>D10</f>
        <v>194822</v>
      </c>
      <c r="E9" s="403">
        <f>C9-D9</f>
        <v>19152</v>
      </c>
    </row>
    <row r="10" spans="1:5" ht="19.149999999999999" hidden="1" customHeight="1">
      <c r="A10" s="378">
        <v>256806</v>
      </c>
      <c r="B10" s="355" t="s">
        <v>531</v>
      </c>
      <c r="C10" s="925">
        <f>C62-C11-C13-C16-C18-C28-C32</f>
        <v>213974</v>
      </c>
      <c r="D10" s="355">
        <f>D62-D11-D13-D16-D18-D28-D32</f>
        <v>194822</v>
      </c>
      <c r="E10" s="403">
        <f t="shared" ref="E10:E17" si="0">C10-D10</f>
        <v>19152</v>
      </c>
    </row>
    <row r="11" spans="1:5" ht="19.149999999999999" customHeight="1">
      <c r="A11" s="378">
        <v>260000</v>
      </c>
      <c r="B11" s="925" t="s">
        <v>964</v>
      </c>
      <c r="C11" s="925">
        <f>C12</f>
        <v>260000</v>
      </c>
      <c r="D11" s="355">
        <f>D12</f>
        <v>260000</v>
      </c>
      <c r="E11" s="403">
        <f t="shared" si="0"/>
        <v>0</v>
      </c>
    </row>
    <row r="12" spans="1:5" ht="19.149999999999999" hidden="1" customHeight="1">
      <c r="A12" s="378">
        <v>260000</v>
      </c>
      <c r="B12" s="695" t="s">
        <v>965</v>
      </c>
      <c r="C12" s="925">
        <v>260000</v>
      </c>
      <c r="D12" s="355">
        <v>260000</v>
      </c>
      <c r="E12" s="403">
        <f t="shared" si="0"/>
        <v>0</v>
      </c>
    </row>
    <row r="13" spans="1:5" s="871" customFormat="1" ht="19.149999999999999" customHeight="1">
      <c r="A13" s="401">
        <f>SUM(A14:A15)</f>
        <v>79</v>
      </c>
      <c r="B13" s="402" t="s">
        <v>533</v>
      </c>
      <c r="C13" s="402">
        <f>SUM(C14:C15)</f>
        <v>79</v>
      </c>
      <c r="D13" s="402">
        <f>SUM(D14:D15)</f>
        <v>79</v>
      </c>
      <c r="E13" s="403">
        <f t="shared" si="0"/>
        <v>0</v>
      </c>
    </row>
    <row r="14" spans="1:5" ht="19.149999999999999" hidden="1" customHeight="1">
      <c r="A14" s="378">
        <v>34</v>
      </c>
      <c r="B14" s="355" t="s">
        <v>535</v>
      </c>
      <c r="C14" s="402">
        <v>34</v>
      </c>
      <c r="D14" s="402">
        <v>34</v>
      </c>
      <c r="E14" s="403">
        <f t="shared" si="0"/>
        <v>0</v>
      </c>
    </row>
    <row r="15" spans="1:5" ht="19.149999999999999" hidden="1" customHeight="1">
      <c r="A15" s="378">
        <v>45</v>
      </c>
      <c r="B15" s="355" t="s">
        <v>537</v>
      </c>
      <c r="C15" s="402">
        <v>45</v>
      </c>
      <c r="D15" s="402">
        <v>45</v>
      </c>
      <c r="E15" s="403">
        <f t="shared" si="0"/>
        <v>0</v>
      </c>
    </row>
    <row r="16" spans="1:5" s="871" customFormat="1" ht="19.149999999999999" customHeight="1">
      <c r="A16" s="401">
        <f>A17</f>
        <v>10333</v>
      </c>
      <c r="B16" s="402" t="s">
        <v>539</v>
      </c>
      <c r="C16" s="402">
        <f>C17</f>
        <v>13284</v>
      </c>
      <c r="D16" s="402">
        <f>D17</f>
        <v>16235</v>
      </c>
      <c r="E16" s="403">
        <f t="shared" si="0"/>
        <v>-2951</v>
      </c>
    </row>
    <row r="17" spans="1:5" ht="19.149999999999999" hidden="1" customHeight="1">
      <c r="A17" s="378">
        <v>10333</v>
      </c>
      <c r="B17" s="355" t="s">
        <v>541</v>
      </c>
      <c r="C17" s="591">
        <v>13284</v>
      </c>
      <c r="D17" s="591">
        <v>16235</v>
      </c>
      <c r="E17" s="403">
        <f t="shared" si="0"/>
        <v>-2951</v>
      </c>
    </row>
    <row r="18" spans="1:5" s="871" customFormat="1" ht="19.149999999999999" customHeight="1">
      <c r="A18" s="401">
        <f>A19+A22+A25-1</f>
        <v>56181</v>
      </c>
      <c r="B18" s="627" t="s">
        <v>1116</v>
      </c>
      <c r="C18" s="402">
        <f t="shared" ref="C18:E18" si="1">C19+C22+C25</f>
        <v>63844</v>
      </c>
      <c r="D18" s="402">
        <f t="shared" si="1"/>
        <v>62343</v>
      </c>
      <c r="E18" s="403">
        <f t="shared" si="1"/>
        <v>1501.0000000000009</v>
      </c>
    </row>
    <row r="19" spans="1:5" s="871" customFormat="1" ht="19.149999999999999" customHeight="1">
      <c r="A19" s="401">
        <f>A20-A21</f>
        <v>45492</v>
      </c>
      <c r="B19" s="404" t="s">
        <v>604</v>
      </c>
      <c r="C19" s="402">
        <f>C20-C21</f>
        <v>40302.318943131657</v>
      </c>
      <c r="D19" s="402">
        <f>D20-D21</f>
        <v>41489</v>
      </c>
      <c r="E19" s="403">
        <f>E20-E21</f>
        <v>-1186.681056868345</v>
      </c>
    </row>
    <row r="20" spans="1:5" s="434" customFormat="1" ht="19.149999999999999" customHeight="1">
      <c r="A20" s="378">
        <v>171032</v>
      </c>
      <c r="B20" s="405" t="s">
        <v>605</v>
      </c>
      <c r="C20" s="925">
        <f>199757-1800</f>
        <v>197957</v>
      </c>
      <c r="D20" s="355">
        <v>184947</v>
      </c>
      <c r="E20" s="403">
        <f>C20-D20</f>
        <v>13010</v>
      </c>
    </row>
    <row r="21" spans="1:5" s="435" customFormat="1" ht="32.450000000000003" customHeight="1">
      <c r="A21" s="378">
        <v>125540</v>
      </c>
      <c r="B21" s="406" t="s">
        <v>651</v>
      </c>
      <c r="C21" s="355">
        <f>D21+E21</f>
        <v>157654.68105686834</v>
      </c>
      <c r="D21" s="355">
        <v>143458</v>
      </c>
      <c r="E21" s="403">
        <f>(16000-6-169)/15404*13819</f>
        <v>14196.681056868345</v>
      </c>
    </row>
    <row r="22" spans="1:5" s="871" customFormat="1" ht="19.149999999999999" customHeight="1">
      <c r="A22" s="401">
        <f>A23-A24+1</f>
        <v>834</v>
      </c>
      <c r="B22" s="404" t="s">
        <v>646</v>
      </c>
      <c r="C22" s="402">
        <f>C23-C24</f>
        <v>67</v>
      </c>
      <c r="D22" s="402">
        <f>D23-D24</f>
        <v>236</v>
      </c>
      <c r="E22" s="403">
        <f>E23-E24</f>
        <v>-169</v>
      </c>
    </row>
    <row r="23" spans="1:5" s="434" customFormat="1" ht="19.149999999999999" customHeight="1">
      <c r="A23" s="380">
        <v>7959</v>
      </c>
      <c r="B23" s="405" t="s">
        <v>647</v>
      </c>
      <c r="C23" s="354">
        <f>'34.資產折舊明細表'!E12</f>
        <v>7959</v>
      </c>
      <c r="D23" s="354">
        <f>A23</f>
        <v>7959</v>
      </c>
      <c r="E23" s="403">
        <f>C23-D23</f>
        <v>0</v>
      </c>
    </row>
    <row r="24" spans="1:5" s="435" customFormat="1" ht="32.450000000000003" customHeight="1">
      <c r="A24" s="380">
        <v>7126</v>
      </c>
      <c r="B24" s="406" t="s">
        <v>652</v>
      </c>
      <c r="C24" s="354">
        <f>D24+E24</f>
        <v>7892</v>
      </c>
      <c r="D24" s="354">
        <v>7723</v>
      </c>
      <c r="E24" s="403">
        <v>169</v>
      </c>
    </row>
    <row r="25" spans="1:5" s="871" customFormat="1" ht="19.149999999999999" customHeight="1">
      <c r="A25" s="401">
        <f>A26-A27+1</f>
        <v>9856</v>
      </c>
      <c r="B25" s="404" t="s">
        <v>648</v>
      </c>
      <c r="C25" s="402">
        <f>C26-C27</f>
        <v>23474.681056868347</v>
      </c>
      <c r="D25" s="402">
        <f>D26-D27</f>
        <v>20618</v>
      </c>
      <c r="E25" s="403">
        <f>E26-E27</f>
        <v>2856.6810568683459</v>
      </c>
    </row>
    <row r="26" spans="1:5" ht="19.149999999999999" customHeight="1">
      <c r="A26" s="378">
        <v>32998</v>
      </c>
      <c r="B26" s="405" t="s">
        <v>649</v>
      </c>
      <c r="C26" s="355">
        <v>49725</v>
      </c>
      <c r="D26" s="355">
        <v>45240</v>
      </c>
      <c r="E26" s="403">
        <f>C26-D26</f>
        <v>4485</v>
      </c>
    </row>
    <row r="27" spans="1:5" ht="19.149999999999999" customHeight="1">
      <c r="A27" s="378">
        <v>23143</v>
      </c>
      <c r="B27" s="355" t="s">
        <v>606</v>
      </c>
      <c r="C27" s="355">
        <f>D27+E27</f>
        <v>26250.318943131653</v>
      </c>
      <c r="D27" s="355">
        <v>24622</v>
      </c>
      <c r="E27" s="403">
        <f>(16000-6-169)/15404*1585</f>
        <v>1628.3189431316539</v>
      </c>
    </row>
    <row r="28" spans="1:5" s="871" customFormat="1" ht="19.149999999999999" customHeight="1">
      <c r="A28" s="401">
        <f>A29</f>
        <v>22201</v>
      </c>
      <c r="B28" s="402" t="s">
        <v>552</v>
      </c>
      <c r="C28" s="402">
        <f t="shared" ref="C28:E28" si="2">C29</f>
        <v>24048</v>
      </c>
      <c r="D28" s="402">
        <f t="shared" si="2"/>
        <v>26634</v>
      </c>
      <c r="E28" s="403">
        <f t="shared" si="2"/>
        <v>-2586</v>
      </c>
    </row>
    <row r="29" spans="1:5" s="871" customFormat="1" ht="19.149999999999999" customHeight="1">
      <c r="A29" s="401">
        <f>A30+A31+1</f>
        <v>22201</v>
      </c>
      <c r="B29" s="402" t="s">
        <v>554</v>
      </c>
      <c r="C29" s="402">
        <f>C30+C31</f>
        <v>24048</v>
      </c>
      <c r="D29" s="402">
        <f>D30+D31</f>
        <v>26634</v>
      </c>
      <c r="E29" s="403">
        <f>SUM(E30:E31)</f>
        <v>-2586</v>
      </c>
    </row>
    <row r="30" spans="1:5" s="871" customFormat="1" ht="19.149999999999999" hidden="1" customHeight="1">
      <c r="A30" s="401">
        <v>46</v>
      </c>
      <c r="B30" s="355" t="s">
        <v>956</v>
      </c>
      <c r="C30" s="402">
        <f>D30+E30</f>
        <v>34</v>
      </c>
      <c r="D30" s="402">
        <v>40</v>
      </c>
      <c r="E30" s="403">
        <v>-6</v>
      </c>
    </row>
    <row r="31" spans="1:5" ht="21" hidden="1" customHeight="1">
      <c r="A31" s="378">
        <v>22154</v>
      </c>
      <c r="B31" s="355" t="s">
        <v>555</v>
      </c>
      <c r="C31" s="925">
        <v>24014</v>
      </c>
      <c r="D31" s="355">
        <v>26594</v>
      </c>
      <c r="E31" s="403">
        <f>C31-D31</f>
        <v>-2580</v>
      </c>
    </row>
    <row r="32" spans="1:5" s="871" customFormat="1" ht="19.149999999999999" customHeight="1">
      <c r="A32" s="401">
        <f>A33</f>
        <v>5</v>
      </c>
      <c r="B32" s="402" t="s">
        <v>556</v>
      </c>
      <c r="C32" s="402">
        <f t="shared" ref="C32:E32" si="3">C33</f>
        <v>5</v>
      </c>
      <c r="D32" s="402">
        <f t="shared" si="3"/>
        <v>5</v>
      </c>
      <c r="E32" s="403">
        <f t="shared" si="3"/>
        <v>0</v>
      </c>
    </row>
    <row r="33" spans="1:5" s="871" customFormat="1" ht="19.149999999999999" customHeight="1">
      <c r="A33" s="401">
        <v>5</v>
      </c>
      <c r="B33" s="402" t="s">
        <v>557</v>
      </c>
      <c r="C33" s="402">
        <f>C34</f>
        <v>5</v>
      </c>
      <c r="D33" s="402">
        <v>5</v>
      </c>
      <c r="E33" s="403">
        <f>C33-D33</f>
        <v>0</v>
      </c>
    </row>
    <row r="34" spans="1:5" hidden="1">
      <c r="A34" s="378">
        <v>5</v>
      </c>
      <c r="B34" s="355" t="s">
        <v>558</v>
      </c>
      <c r="C34" s="580">
        <v>5</v>
      </c>
      <c r="D34" s="580">
        <f>A34</f>
        <v>5</v>
      </c>
      <c r="E34" s="942">
        <f>C34-D34</f>
        <v>0</v>
      </c>
    </row>
    <row r="35" spans="1:5" s="871" customFormat="1" ht="19.149999999999999" customHeight="1">
      <c r="A35" s="407">
        <f>A7</f>
        <v>605605</v>
      </c>
      <c r="B35" s="408" t="s">
        <v>559</v>
      </c>
      <c r="C35" s="409">
        <f>C7</f>
        <v>575234</v>
      </c>
      <c r="D35" s="409">
        <f>D7</f>
        <v>560118</v>
      </c>
      <c r="E35" s="410">
        <f>E7</f>
        <v>15116</v>
      </c>
    </row>
    <row r="36" spans="1:5" s="871" customFormat="1" ht="7.5" customHeight="1">
      <c r="A36" s="407"/>
      <c r="B36" s="408"/>
      <c r="C36" s="409"/>
      <c r="D36" s="409"/>
      <c r="E36" s="410"/>
    </row>
    <row r="37" spans="1:5" ht="19.149999999999999" customHeight="1">
      <c r="A37" s="407">
        <f>A38+A46</f>
        <v>250046</v>
      </c>
      <c r="B37" s="408" t="s">
        <v>600</v>
      </c>
      <c r="C37" s="409">
        <f>C38+C46</f>
        <v>184706</v>
      </c>
      <c r="D37" s="409">
        <f>D38+D46</f>
        <v>184768</v>
      </c>
      <c r="E37" s="410">
        <f>E38+E46</f>
        <v>-62</v>
      </c>
    </row>
    <row r="38" spans="1:5" ht="19.149999999999999" customHeight="1">
      <c r="A38" s="401">
        <f>A39+A44</f>
        <v>212447</v>
      </c>
      <c r="B38" s="402" t="s">
        <v>529</v>
      </c>
      <c r="C38" s="402">
        <f>C39+C44</f>
        <v>149334</v>
      </c>
      <c r="D38" s="402">
        <f>D39+D44</f>
        <v>150531</v>
      </c>
      <c r="E38" s="403">
        <f>E39+E44</f>
        <v>-1197</v>
      </c>
    </row>
    <row r="39" spans="1:5" ht="19.149999999999999" customHeight="1">
      <c r="A39" s="401">
        <f>SUM(A40:A43)-1</f>
        <v>131821</v>
      </c>
      <c r="B39" s="402" t="s">
        <v>530</v>
      </c>
      <c r="C39" s="402">
        <f>SUM(C40:C43)</f>
        <v>82014</v>
      </c>
      <c r="D39" s="402">
        <f>SUM(D40:D43)</f>
        <v>81361</v>
      </c>
      <c r="E39" s="403">
        <f>C39-D39</f>
        <v>653</v>
      </c>
    </row>
    <row r="40" spans="1:5" ht="21" hidden="1" customHeight="1">
      <c r="A40" s="378">
        <v>443</v>
      </c>
      <c r="B40" s="355" t="s">
        <v>532</v>
      </c>
      <c r="C40" s="580">
        <v>402</v>
      </c>
      <c r="D40" s="580">
        <v>333</v>
      </c>
      <c r="E40" s="403">
        <f t="shared" ref="E40:E45" si="4">C40-D40</f>
        <v>69</v>
      </c>
    </row>
    <row r="41" spans="1:5" ht="21" hidden="1" customHeight="1">
      <c r="A41" s="378">
        <v>11345</v>
      </c>
      <c r="B41" s="355" t="s">
        <v>534</v>
      </c>
      <c r="C41" s="580">
        <v>10334</v>
      </c>
      <c r="D41" s="580">
        <v>9323</v>
      </c>
      <c r="E41" s="403">
        <f t="shared" si="4"/>
        <v>1011</v>
      </c>
    </row>
    <row r="42" spans="1:5" ht="21" hidden="1" customHeight="1">
      <c r="A42" s="378">
        <v>110216</v>
      </c>
      <c r="B42" s="355" t="s">
        <v>536</v>
      </c>
      <c r="C42" s="580">
        <f>111696-50000</f>
        <v>61696</v>
      </c>
      <c r="D42" s="580">
        <f>83867-20000</f>
        <v>63867</v>
      </c>
      <c r="E42" s="403">
        <f t="shared" si="4"/>
        <v>-2171</v>
      </c>
    </row>
    <row r="43" spans="1:5" ht="21" hidden="1" customHeight="1">
      <c r="A43" s="378">
        <v>9818</v>
      </c>
      <c r="B43" s="355" t="s">
        <v>540</v>
      </c>
      <c r="C43" s="580">
        <v>9582</v>
      </c>
      <c r="D43" s="580">
        <v>7838</v>
      </c>
      <c r="E43" s="403">
        <f t="shared" si="4"/>
        <v>1744</v>
      </c>
    </row>
    <row r="44" spans="1:5" ht="19.149999999999999" customHeight="1">
      <c r="A44" s="401">
        <f>A45</f>
        <v>80626</v>
      </c>
      <c r="B44" s="402" t="s">
        <v>542</v>
      </c>
      <c r="C44" s="402">
        <f>C45</f>
        <v>67320</v>
      </c>
      <c r="D44" s="402">
        <f>D45</f>
        <v>69170</v>
      </c>
      <c r="E44" s="403">
        <f>C44-D44</f>
        <v>-1850</v>
      </c>
    </row>
    <row r="45" spans="1:5" ht="21" hidden="1" customHeight="1">
      <c r="A45" s="378">
        <v>80626</v>
      </c>
      <c r="B45" s="355" t="s">
        <v>543</v>
      </c>
      <c r="C45" s="591">
        <v>67320</v>
      </c>
      <c r="D45" s="591">
        <v>69170</v>
      </c>
      <c r="E45" s="403">
        <f t="shared" si="4"/>
        <v>-1850</v>
      </c>
    </row>
    <row r="46" spans="1:5" ht="19.149999999999999" customHeight="1">
      <c r="A46" s="401">
        <f>A47+A49</f>
        <v>37599</v>
      </c>
      <c r="B46" s="402" t="s">
        <v>545</v>
      </c>
      <c r="C46" s="402">
        <f>C47+C49</f>
        <v>35372</v>
      </c>
      <c r="D46" s="402">
        <f>D47+D49</f>
        <v>34237</v>
      </c>
      <c r="E46" s="403">
        <f>E47+E49</f>
        <v>1135</v>
      </c>
    </row>
    <row r="47" spans="1:5" ht="21" customHeight="1">
      <c r="A47" s="378">
        <f>A48</f>
        <v>1986</v>
      </c>
      <c r="B47" s="402" t="s">
        <v>1013</v>
      </c>
      <c r="C47" s="402">
        <f>C48</f>
        <v>1406</v>
      </c>
      <c r="D47" s="402">
        <f>D48</f>
        <v>1696</v>
      </c>
      <c r="E47" s="403">
        <f>C47-D47</f>
        <v>-290</v>
      </c>
    </row>
    <row r="48" spans="1:5" ht="21" hidden="1" customHeight="1">
      <c r="A48" s="378">
        <v>1986</v>
      </c>
      <c r="B48" s="402" t="s">
        <v>1014</v>
      </c>
      <c r="C48" s="946">
        <v>1406</v>
      </c>
      <c r="D48" s="946">
        <f>2276-290-290</f>
        <v>1696</v>
      </c>
      <c r="E48" s="942">
        <f>C48-D48</f>
        <v>-290</v>
      </c>
    </row>
    <row r="49" spans="1:5" ht="19.149999999999999" customHeight="1">
      <c r="A49" s="401">
        <f>SUM(A50:A51)</f>
        <v>35613</v>
      </c>
      <c r="B49" s="402" t="s">
        <v>546</v>
      </c>
      <c r="C49" s="402">
        <f>C50+C51</f>
        <v>33966</v>
      </c>
      <c r="D49" s="402">
        <f>SUM(D50:D51)</f>
        <v>32541</v>
      </c>
      <c r="E49" s="403">
        <f>E50+E51</f>
        <v>1425</v>
      </c>
    </row>
    <row r="50" spans="1:5" ht="21" hidden="1" customHeight="1">
      <c r="A50" s="378">
        <v>18597</v>
      </c>
      <c r="B50" s="355" t="s">
        <v>547</v>
      </c>
      <c r="C50" s="580">
        <v>16950</v>
      </c>
      <c r="D50" s="580">
        <v>15525</v>
      </c>
      <c r="E50" s="403">
        <f>C50-D50</f>
        <v>1425</v>
      </c>
    </row>
    <row r="51" spans="1:5" ht="21" hidden="1" customHeight="1">
      <c r="A51" s="378">
        <v>17016</v>
      </c>
      <c r="B51" s="355" t="s">
        <v>548</v>
      </c>
      <c r="C51" s="580">
        <v>17016</v>
      </c>
      <c r="D51" s="580">
        <v>17016</v>
      </c>
      <c r="E51" s="403">
        <f>C51-D51</f>
        <v>0</v>
      </c>
    </row>
    <row r="52" spans="1:5" ht="19.149999999999999" customHeight="1">
      <c r="A52" s="407">
        <f>A53+A56+A59</f>
        <v>355559</v>
      </c>
      <c r="B52" s="408" t="s">
        <v>549</v>
      </c>
      <c r="C52" s="409">
        <f>C53+C56+C59</f>
        <v>390528</v>
      </c>
      <c r="D52" s="409">
        <f>D53+D56+D59</f>
        <v>375350</v>
      </c>
      <c r="E52" s="410">
        <f>E53+E59</f>
        <v>15178</v>
      </c>
    </row>
    <row r="53" spans="1:5" ht="19.149999999999999" customHeight="1">
      <c r="A53" s="401">
        <f>A54</f>
        <v>127203</v>
      </c>
      <c r="B53" s="402" t="s">
        <v>136</v>
      </c>
      <c r="C53" s="402">
        <f t="shared" ref="C53:E56" si="5">C54</f>
        <v>127203</v>
      </c>
      <c r="D53" s="402">
        <f t="shared" si="5"/>
        <v>127203</v>
      </c>
      <c r="E53" s="403">
        <f t="shared" ref="E53:E55" si="6">C53-D53</f>
        <v>0</v>
      </c>
    </row>
    <row r="54" spans="1:5" ht="19.149999999999999" customHeight="1">
      <c r="A54" s="401">
        <f>A55</f>
        <v>127203</v>
      </c>
      <c r="B54" s="402" t="s">
        <v>137</v>
      </c>
      <c r="C54" s="402">
        <f t="shared" si="5"/>
        <v>127203</v>
      </c>
      <c r="D54" s="402">
        <f t="shared" si="5"/>
        <v>127203</v>
      </c>
      <c r="E54" s="403">
        <f t="shared" si="6"/>
        <v>0</v>
      </c>
    </row>
    <row r="55" spans="1:5" ht="21" hidden="1" customHeight="1">
      <c r="A55" s="378">
        <v>127203</v>
      </c>
      <c r="B55" s="355" t="s">
        <v>138</v>
      </c>
      <c r="C55" s="355">
        <v>127203</v>
      </c>
      <c r="D55" s="355">
        <f>A55</f>
        <v>127203</v>
      </c>
      <c r="E55" s="403">
        <f t="shared" si="6"/>
        <v>0</v>
      </c>
    </row>
    <row r="56" spans="1:5" ht="19.149999999999999" customHeight="1">
      <c r="A56" s="401">
        <f>A57</f>
        <v>160</v>
      </c>
      <c r="B56" s="402" t="s">
        <v>794</v>
      </c>
      <c r="C56" s="355">
        <f>C57</f>
        <v>160</v>
      </c>
      <c r="D56" s="355">
        <f>D57</f>
        <v>160</v>
      </c>
      <c r="E56" s="403">
        <f t="shared" si="5"/>
        <v>0</v>
      </c>
    </row>
    <row r="57" spans="1:5" ht="19.149999999999999" customHeight="1">
      <c r="A57" s="401">
        <f>A58</f>
        <v>160</v>
      </c>
      <c r="B57" s="402" t="s">
        <v>795</v>
      </c>
      <c r="C57" s="355">
        <f>C58</f>
        <v>160</v>
      </c>
      <c r="D57" s="355">
        <f>D58</f>
        <v>160</v>
      </c>
      <c r="E57" s="403">
        <f>C57-D57</f>
        <v>0</v>
      </c>
    </row>
    <row r="58" spans="1:5" ht="21" hidden="1" customHeight="1">
      <c r="A58" s="378">
        <v>160</v>
      </c>
      <c r="B58" s="354" t="s">
        <v>796</v>
      </c>
      <c r="C58" s="355">
        <v>160</v>
      </c>
      <c r="D58" s="355">
        <v>160</v>
      </c>
      <c r="E58" s="403"/>
    </row>
    <row r="59" spans="1:5" ht="19.149999999999999" customHeight="1">
      <c r="A59" s="401">
        <f>A60</f>
        <v>228196</v>
      </c>
      <c r="B59" s="402" t="s">
        <v>1015</v>
      </c>
      <c r="C59" s="627">
        <f>C60</f>
        <v>263165</v>
      </c>
      <c r="D59" s="402">
        <f>D60</f>
        <v>247987</v>
      </c>
      <c r="E59" s="403">
        <f>E60</f>
        <v>15178</v>
      </c>
    </row>
    <row r="60" spans="1:5" ht="18.75" customHeight="1">
      <c r="A60" s="401">
        <f>A61</f>
        <v>228196</v>
      </c>
      <c r="B60" s="402" t="s">
        <v>139</v>
      </c>
      <c r="C60" s="627">
        <f>C61</f>
        <v>263165</v>
      </c>
      <c r="D60" s="402">
        <f>D61</f>
        <v>247987</v>
      </c>
      <c r="E60" s="403">
        <f>SUM(E61)</f>
        <v>15178</v>
      </c>
    </row>
    <row r="61" spans="1:5" ht="21" hidden="1" customHeight="1">
      <c r="A61" s="380">
        <v>228196</v>
      </c>
      <c r="B61" s="354" t="s">
        <v>140</v>
      </c>
      <c r="C61" s="945">
        <f>262705+460</f>
        <v>263165</v>
      </c>
      <c r="D61" s="601">
        <v>247987</v>
      </c>
      <c r="E61" s="942">
        <f>C61-D61</f>
        <v>15178</v>
      </c>
    </row>
    <row r="62" spans="1:5" ht="19.149999999999999" customHeight="1" thickBot="1">
      <c r="A62" s="972">
        <f>A37+A52</f>
        <v>605605</v>
      </c>
      <c r="B62" s="413" t="s">
        <v>560</v>
      </c>
      <c r="C62" s="414">
        <f>C37+C52</f>
        <v>575234</v>
      </c>
      <c r="D62" s="414">
        <f>D37+D52</f>
        <v>560118</v>
      </c>
      <c r="E62" s="415">
        <f>E37+E52</f>
        <v>15116</v>
      </c>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55118110236220474" header="0.51181102362204722" footer="0.31496062992125984"/>
  <pageSetup paperSize="9" scale="89" firstPageNumber="35" orientation="portrait" blackAndWhite="1" useFirstPageNumber="1" r:id="rId1"/>
  <headerFooter scaleWithDoc="0" alignWithMargins="0">
    <oddFooter>&amp;C&amp;"Arial Unicode MS,標準"&amp;P</oddFooter>
  </headerFooter>
  <legacyDrawing r:id="rId2"/>
</worksheet>
</file>

<file path=xl/worksheets/sheet37.xml><?xml version="1.0" encoding="utf-8"?>
<worksheet xmlns="http://schemas.openxmlformats.org/spreadsheetml/2006/main" xmlns:r="http://schemas.openxmlformats.org/officeDocument/2006/relationships">
  <sheetPr>
    <tabColor rgb="FFFFFFCC"/>
  </sheetPr>
  <dimension ref="A1:E72"/>
  <sheetViews>
    <sheetView view="pageBreakPreview" topLeftCell="A46" zoomScaleNormal="100" zoomScaleSheetLayoutView="100" workbookViewId="0">
      <selection activeCell="E61" sqref="E61"/>
    </sheetView>
  </sheetViews>
  <sheetFormatPr defaultColWidth="9" defaultRowHeight="16.5"/>
  <cols>
    <col min="1" max="1" width="14.625" style="71" customWidth="1"/>
    <col min="2" max="2" width="29.25" style="37" customWidth="1"/>
    <col min="3" max="3" width="16" style="71" customWidth="1"/>
    <col min="4" max="4" width="15.875" style="37" customWidth="1"/>
    <col min="5" max="5" width="15.75" style="71" customWidth="1"/>
    <col min="6" max="16384" width="9" style="37"/>
  </cols>
  <sheetData>
    <row r="1" spans="1:5" ht="25.5">
      <c r="A1" s="1075" t="s">
        <v>603</v>
      </c>
      <c r="B1" s="1075"/>
      <c r="C1" s="1075"/>
      <c r="D1" s="1075"/>
      <c r="E1" s="1075"/>
    </row>
    <row r="2" spans="1:5" ht="21">
      <c r="A2" s="1076" t="s">
        <v>602</v>
      </c>
      <c r="B2" s="1076"/>
      <c r="C2" s="1076"/>
      <c r="D2" s="1076"/>
      <c r="E2" s="1076"/>
    </row>
    <row r="3" spans="1:5" ht="21">
      <c r="A3" s="1077" t="s">
        <v>601</v>
      </c>
      <c r="B3" s="1077"/>
      <c r="C3" s="1077"/>
      <c r="D3" s="1077"/>
      <c r="E3" s="1077"/>
    </row>
    <row r="4" spans="1:5" s="191" customFormat="1" ht="19.5">
      <c r="A4" s="1078" t="s">
        <v>929</v>
      </c>
      <c r="B4" s="1078"/>
      <c r="C4" s="1078"/>
      <c r="D4" s="1078"/>
      <c r="E4" s="1078"/>
    </row>
    <row r="5" spans="1:5" ht="17.25" thickBot="1">
      <c r="A5" s="1260" t="s">
        <v>619</v>
      </c>
      <c r="B5" s="1260"/>
      <c r="C5" s="1260"/>
      <c r="D5" s="1260"/>
      <c r="E5" s="1260"/>
    </row>
    <row r="6" spans="1:5" ht="35.25" customHeight="1">
      <c r="A6" s="389" t="s">
        <v>930</v>
      </c>
      <c r="B6" s="611" t="s">
        <v>354</v>
      </c>
      <c r="C6" s="390" t="s">
        <v>931</v>
      </c>
      <c r="D6" s="390" t="s">
        <v>803</v>
      </c>
      <c r="E6" s="391" t="s">
        <v>353</v>
      </c>
    </row>
    <row r="7" spans="1:5" s="73" customFormat="1" ht="20.100000000000001" customHeight="1">
      <c r="A7" s="598">
        <f>A8+A17+A30+A34</f>
        <v>494476</v>
      </c>
      <c r="B7" s="398" t="s">
        <v>418</v>
      </c>
      <c r="C7" s="399">
        <f>C8+C17+C30+C34</f>
        <v>517245</v>
      </c>
      <c r="D7" s="399">
        <f>D8+D17+D30+D34</f>
        <v>506068</v>
      </c>
      <c r="E7" s="400">
        <f>E8+E17+E30+E34</f>
        <v>11177</v>
      </c>
    </row>
    <row r="8" spans="1:5" s="73" customFormat="1" ht="20.100000000000001" customHeight="1">
      <c r="A8" s="595">
        <f>A9+A14+A11</f>
        <v>414847</v>
      </c>
      <c r="B8" s="402" t="s">
        <v>135</v>
      </c>
      <c r="C8" s="402">
        <f>C9+C14+C11</f>
        <v>447778</v>
      </c>
      <c r="D8" s="402">
        <f>D9+D14+D11</f>
        <v>438289</v>
      </c>
      <c r="E8" s="403">
        <f>E9+E14+E11</f>
        <v>9489</v>
      </c>
    </row>
    <row r="9" spans="1:5" s="73" customFormat="1" ht="20.100000000000001" customHeight="1">
      <c r="A9" s="595">
        <f>A10</f>
        <v>409041</v>
      </c>
      <c r="B9" s="402" t="s">
        <v>168</v>
      </c>
      <c r="C9" s="402">
        <f>C10</f>
        <v>439513</v>
      </c>
      <c r="D9" s="580">
        <f>D10</f>
        <v>431419</v>
      </c>
      <c r="E9" s="403">
        <f>E10</f>
        <v>8094</v>
      </c>
    </row>
    <row r="10" spans="1:5" ht="21" customHeight="1">
      <c r="A10" s="596">
        <v>409041</v>
      </c>
      <c r="B10" s="355" t="s">
        <v>531</v>
      </c>
      <c r="C10" s="610">
        <f>437207-94+2400</f>
        <v>439513</v>
      </c>
      <c r="D10" s="591">
        <f>A10+22472-94</f>
        <v>431419</v>
      </c>
      <c r="E10" s="403">
        <f>C10-D10</f>
        <v>8094</v>
      </c>
    </row>
    <row r="11" spans="1:5" s="73" customFormat="1" ht="21" customHeight="1">
      <c r="A11" s="595">
        <f>SUM(A12:A13)</f>
        <v>868</v>
      </c>
      <c r="B11" s="402" t="s">
        <v>491</v>
      </c>
      <c r="C11" s="580">
        <f>C12+C13</f>
        <v>1107</v>
      </c>
      <c r="D11" s="580">
        <f>D12+D13</f>
        <v>432</v>
      </c>
      <c r="E11" s="403">
        <f>E12+E13</f>
        <v>675</v>
      </c>
    </row>
    <row r="12" spans="1:5" ht="21" customHeight="1">
      <c r="A12" s="596">
        <v>21</v>
      </c>
      <c r="B12" s="355" t="s">
        <v>535</v>
      </c>
      <c r="C12" s="580">
        <v>32</v>
      </c>
      <c r="D12" s="580">
        <f>A12+10</f>
        <v>31</v>
      </c>
      <c r="E12" s="403">
        <f>C12-D12</f>
        <v>1</v>
      </c>
    </row>
    <row r="13" spans="1:5" ht="21" customHeight="1">
      <c r="A13" s="596">
        <v>847</v>
      </c>
      <c r="B13" s="355" t="s">
        <v>537</v>
      </c>
      <c r="C13" s="580">
        <v>1075</v>
      </c>
      <c r="D13" s="580">
        <f>A13-446</f>
        <v>401</v>
      </c>
      <c r="E13" s="403">
        <f>C13-D13</f>
        <v>674</v>
      </c>
    </row>
    <row r="14" spans="1:5" s="73" customFormat="1" ht="20.100000000000001" customHeight="1">
      <c r="A14" s="595">
        <f>A15</f>
        <v>4938</v>
      </c>
      <c r="B14" s="402" t="s">
        <v>539</v>
      </c>
      <c r="C14" s="580">
        <f>C15</f>
        <v>7158</v>
      </c>
      <c r="D14" s="580">
        <f>D15</f>
        <v>6438</v>
      </c>
      <c r="E14" s="403">
        <f>E15</f>
        <v>720</v>
      </c>
    </row>
    <row r="15" spans="1:5" ht="21" customHeight="1">
      <c r="A15" s="596">
        <v>4938</v>
      </c>
      <c r="B15" s="355" t="s">
        <v>541</v>
      </c>
      <c r="C15" s="591">
        <v>7158</v>
      </c>
      <c r="D15" s="591">
        <f>A15+1500</f>
        <v>6438</v>
      </c>
      <c r="E15" s="403">
        <f>C15-D15</f>
        <v>720</v>
      </c>
    </row>
    <row r="16" spans="1:5" ht="20.100000000000001" customHeight="1">
      <c r="A16" s="378"/>
      <c r="B16" s="355"/>
      <c r="C16" s="355"/>
      <c r="D16" s="355"/>
      <c r="E16" s="403"/>
    </row>
    <row r="17" spans="1:5" s="73" customFormat="1" ht="20.100000000000001" customHeight="1">
      <c r="A17" s="602">
        <f>A18+A21+A24+A27-1</f>
        <v>47795</v>
      </c>
      <c r="B17" s="402" t="s">
        <v>544</v>
      </c>
      <c r="C17" s="580">
        <f>C18+C21+C24+C27</f>
        <v>56827</v>
      </c>
      <c r="D17" s="402">
        <f>D18+D21+D24+D27</f>
        <v>47508</v>
      </c>
      <c r="E17" s="403">
        <f>E18+E21+E24+E27</f>
        <v>9319</v>
      </c>
    </row>
    <row r="18" spans="1:5" s="73" customFormat="1" ht="20.100000000000001" customHeight="1">
      <c r="A18" s="602">
        <f>A19-A20+1</f>
        <v>42363</v>
      </c>
      <c r="B18" s="404" t="s">
        <v>604</v>
      </c>
      <c r="C18" s="580">
        <f>C19-C20</f>
        <v>58299</v>
      </c>
      <c r="D18" s="402">
        <f>D19-D20</f>
        <v>42461</v>
      </c>
      <c r="E18" s="403">
        <f>E19-E20</f>
        <v>15838</v>
      </c>
    </row>
    <row r="19" spans="1:5" s="434" customFormat="1" ht="20.100000000000001" customHeight="1">
      <c r="A19" s="596">
        <v>147999</v>
      </c>
      <c r="B19" s="405" t="s">
        <v>605</v>
      </c>
      <c r="C19" s="591">
        <f>'34.資產折舊明細表'!D12</f>
        <v>197957</v>
      </c>
      <c r="D19" s="591">
        <f>A19+16479</f>
        <v>164478</v>
      </c>
      <c r="E19" s="403">
        <f>C19-D19</f>
        <v>33479</v>
      </c>
    </row>
    <row r="20" spans="1:5" s="435" customFormat="1" ht="37.5" customHeight="1">
      <c r="A20" s="596">
        <f>105637</f>
        <v>105637</v>
      </c>
      <c r="B20" s="406" t="s">
        <v>651</v>
      </c>
      <c r="C20" s="591">
        <v>139658</v>
      </c>
      <c r="D20" s="591">
        <f>A20+16380</f>
        <v>122017</v>
      </c>
      <c r="E20" s="403">
        <f>C20-D20</f>
        <v>17641</v>
      </c>
    </row>
    <row r="21" spans="1:5" s="73" customFormat="1" ht="20.100000000000001" customHeight="1">
      <c r="A21" s="602">
        <f>A22-A23-1</f>
        <v>2079</v>
      </c>
      <c r="B21" s="404" t="s">
        <v>646</v>
      </c>
      <c r="C21" s="580">
        <f>C22-C23</f>
        <v>-4535</v>
      </c>
      <c r="D21" s="402">
        <f>D22-D23</f>
        <v>1153</v>
      </c>
      <c r="E21" s="403">
        <f>E22-E23</f>
        <v>-5688</v>
      </c>
    </row>
    <row r="22" spans="1:5" s="356" customFormat="1" ht="20.100000000000001" customHeight="1">
      <c r="A22" s="597">
        <v>12548</v>
      </c>
      <c r="B22" s="405" t="s">
        <v>647</v>
      </c>
      <c r="C22" s="601">
        <f>'34.資產折舊明細表'!E12</f>
        <v>7959</v>
      </c>
      <c r="D22" s="601">
        <f>A22</f>
        <v>12548</v>
      </c>
      <c r="E22" s="403">
        <f>C22-D22</f>
        <v>-4589</v>
      </c>
    </row>
    <row r="23" spans="1:5" s="351" customFormat="1" ht="36.75" customHeight="1">
      <c r="A23" s="603">
        <f>10468</f>
        <v>10468</v>
      </c>
      <c r="B23" s="406" t="s">
        <v>652</v>
      </c>
      <c r="C23" s="601">
        <f>12588-94</f>
        <v>12494</v>
      </c>
      <c r="D23" s="604">
        <v>11395</v>
      </c>
      <c r="E23" s="403">
        <f>C23-D23</f>
        <v>1099</v>
      </c>
    </row>
    <row r="24" spans="1:5" s="73" customFormat="1" ht="20.100000000000001" customHeight="1">
      <c r="A24" s="595">
        <f>A25-A26</f>
        <v>3354</v>
      </c>
      <c r="B24" s="404" t="s">
        <v>648</v>
      </c>
      <c r="C24" s="580">
        <f>C25-C26</f>
        <v>3063</v>
      </c>
      <c r="D24" s="402">
        <f>D25-D26</f>
        <v>3894</v>
      </c>
      <c r="E24" s="403">
        <f>E25-E26</f>
        <v>-831</v>
      </c>
    </row>
    <row r="25" spans="1:5" ht="20.100000000000001" customHeight="1">
      <c r="A25" s="596">
        <v>27094</v>
      </c>
      <c r="B25" s="405" t="s">
        <v>649</v>
      </c>
      <c r="C25" s="591">
        <v>31372</v>
      </c>
      <c r="D25" s="591">
        <f>A25+2740</f>
        <v>29834</v>
      </c>
      <c r="E25" s="403">
        <f>C25-D25</f>
        <v>1538</v>
      </c>
    </row>
    <row r="26" spans="1:5" ht="20.100000000000001" customHeight="1">
      <c r="A26" s="596">
        <v>23740</v>
      </c>
      <c r="B26" s="355" t="s">
        <v>606</v>
      </c>
      <c r="C26" s="591">
        <v>28309</v>
      </c>
      <c r="D26" s="591">
        <f>A26+2200</f>
        <v>25940</v>
      </c>
      <c r="E26" s="403">
        <f>C26-D26</f>
        <v>2369</v>
      </c>
    </row>
    <row r="27" spans="1:5" s="73" customFormat="1" ht="21" customHeight="1">
      <c r="A27" s="401">
        <f>A28</f>
        <v>0</v>
      </c>
      <c r="B27" s="402" t="s">
        <v>550</v>
      </c>
      <c r="C27" s="402">
        <f>C28</f>
        <v>0</v>
      </c>
      <c r="D27" s="402">
        <f>D28</f>
        <v>0</v>
      </c>
      <c r="E27" s="403">
        <f>E28</f>
        <v>0</v>
      </c>
    </row>
    <row r="28" spans="1:5" ht="21" customHeight="1">
      <c r="A28" s="401">
        <v>0</v>
      </c>
      <c r="B28" s="405" t="s">
        <v>551</v>
      </c>
      <c r="C28" s="402">
        <v>0</v>
      </c>
      <c r="D28" s="402">
        <v>0</v>
      </c>
      <c r="E28" s="403">
        <f>C28-D28</f>
        <v>0</v>
      </c>
    </row>
    <row r="29" spans="1:5" ht="20.100000000000001" customHeight="1">
      <c r="A29" s="401"/>
      <c r="B29" s="405"/>
      <c r="C29" s="402"/>
      <c r="D29" s="402"/>
      <c r="E29" s="403"/>
    </row>
    <row r="30" spans="1:5" s="73" customFormat="1" ht="20.100000000000001" customHeight="1">
      <c r="A30" s="595">
        <f>A31</f>
        <v>31833</v>
      </c>
      <c r="B30" s="402" t="s">
        <v>171</v>
      </c>
      <c r="C30" s="580">
        <f t="shared" ref="C30:E31" si="0">C31</f>
        <v>12639</v>
      </c>
      <c r="D30" s="580">
        <f t="shared" si="0"/>
        <v>20270</v>
      </c>
      <c r="E30" s="403">
        <f t="shared" si="0"/>
        <v>-7631</v>
      </c>
    </row>
    <row r="31" spans="1:5" s="73" customFormat="1" ht="20.100000000000001" customHeight="1">
      <c r="A31" s="595">
        <f>A32</f>
        <v>31833</v>
      </c>
      <c r="B31" s="402" t="s">
        <v>554</v>
      </c>
      <c r="C31" s="580">
        <f t="shared" si="0"/>
        <v>12639</v>
      </c>
      <c r="D31" s="580">
        <f t="shared" si="0"/>
        <v>20270</v>
      </c>
      <c r="E31" s="403">
        <f t="shared" si="0"/>
        <v>-7631</v>
      </c>
    </row>
    <row r="32" spans="1:5" ht="21" customHeight="1">
      <c r="A32" s="596">
        <v>31833</v>
      </c>
      <c r="B32" s="355" t="s">
        <v>555</v>
      </c>
      <c r="C32" s="608">
        <f>12839-200</f>
        <v>12639</v>
      </c>
      <c r="D32" s="591">
        <f>A32-11563</f>
        <v>20270</v>
      </c>
      <c r="E32" s="403">
        <f>C32-D32</f>
        <v>-7631</v>
      </c>
    </row>
    <row r="33" spans="1:5" ht="20.100000000000001" customHeight="1">
      <c r="A33" s="596"/>
      <c r="B33" s="355"/>
      <c r="C33" s="355"/>
      <c r="D33" s="355"/>
      <c r="E33" s="403"/>
    </row>
    <row r="34" spans="1:5" s="73" customFormat="1" ht="20.100000000000001" customHeight="1">
      <c r="A34" s="595">
        <f>A35</f>
        <v>1</v>
      </c>
      <c r="B34" s="402" t="s">
        <v>556</v>
      </c>
      <c r="C34" s="580">
        <f t="shared" ref="C34:E35" si="1">C35</f>
        <v>1</v>
      </c>
      <c r="D34" s="580">
        <f t="shared" si="1"/>
        <v>1</v>
      </c>
      <c r="E34" s="403">
        <f t="shared" si="1"/>
        <v>0</v>
      </c>
    </row>
    <row r="35" spans="1:5" s="73" customFormat="1" ht="20.100000000000001" customHeight="1">
      <c r="A35" s="595">
        <f>A36</f>
        <v>1</v>
      </c>
      <c r="B35" s="402" t="s">
        <v>557</v>
      </c>
      <c r="C35" s="580">
        <f t="shared" si="1"/>
        <v>1</v>
      </c>
      <c r="D35" s="580">
        <f t="shared" si="1"/>
        <v>1</v>
      </c>
      <c r="E35" s="403">
        <f t="shared" si="1"/>
        <v>0</v>
      </c>
    </row>
    <row r="36" spans="1:5">
      <c r="A36" s="596">
        <v>1</v>
      </c>
      <c r="B36" s="355" t="s">
        <v>500</v>
      </c>
      <c r="C36" s="580">
        <v>1</v>
      </c>
      <c r="D36" s="580">
        <f>A36</f>
        <v>1</v>
      </c>
      <c r="E36" s="403">
        <f>C36-D36</f>
        <v>0</v>
      </c>
    </row>
    <row r="37" spans="1:5" s="73" customFormat="1" ht="20.100000000000001" customHeight="1">
      <c r="A37" s="599">
        <f>A7</f>
        <v>494476</v>
      </c>
      <c r="B37" s="408" t="s">
        <v>559</v>
      </c>
      <c r="C37" s="409">
        <f>C7</f>
        <v>517245</v>
      </c>
      <c r="D37" s="409">
        <f>D7</f>
        <v>506068</v>
      </c>
      <c r="E37" s="410">
        <f>E7</f>
        <v>11177</v>
      </c>
    </row>
    <row r="38" spans="1:5" s="73" customFormat="1" ht="7.5" customHeight="1">
      <c r="A38" s="407"/>
      <c r="B38" s="408"/>
      <c r="C38" s="409"/>
      <c r="D38" s="409"/>
      <c r="E38" s="410"/>
    </row>
    <row r="39" spans="1:5" ht="20.100000000000001" customHeight="1">
      <c r="A39" s="599">
        <f>A40+A50-1</f>
        <v>266081</v>
      </c>
      <c r="B39" s="408" t="s">
        <v>419</v>
      </c>
      <c r="C39" s="409">
        <f>C40+C50</f>
        <v>257371</v>
      </c>
      <c r="D39" s="409">
        <f>D40+D50</f>
        <v>268171</v>
      </c>
      <c r="E39" s="410">
        <f>E40+E50</f>
        <v>-10800</v>
      </c>
    </row>
    <row r="40" spans="1:5" ht="20.100000000000001" customHeight="1">
      <c r="A40" s="602">
        <f>A41+A47+1</f>
        <v>246690</v>
      </c>
      <c r="B40" s="402" t="s">
        <v>529</v>
      </c>
      <c r="C40" s="402">
        <f>C41+C47</f>
        <v>237929</v>
      </c>
      <c r="D40" s="402">
        <f>D41+D47</f>
        <v>249279</v>
      </c>
      <c r="E40" s="403">
        <f>E41+E47</f>
        <v>-11350</v>
      </c>
    </row>
    <row r="41" spans="1:5" ht="20.100000000000001" customHeight="1">
      <c r="A41" s="595">
        <f>SUM(A42:A46)</f>
        <v>135761</v>
      </c>
      <c r="B41" s="402" t="s">
        <v>530</v>
      </c>
      <c r="C41" s="580">
        <f>SUM(C42:C46)</f>
        <v>124929</v>
      </c>
      <c r="D41" s="402">
        <f>SUM(D42:D46)</f>
        <v>138351</v>
      </c>
      <c r="E41" s="403">
        <f>SUM(E42:E46)</f>
        <v>-13422</v>
      </c>
    </row>
    <row r="42" spans="1:5" ht="21" customHeight="1">
      <c r="A42" s="596">
        <v>530</v>
      </c>
      <c r="B42" s="355" t="s">
        <v>501</v>
      </c>
      <c r="C42" s="580">
        <v>330</v>
      </c>
      <c r="D42" s="402">
        <f>A42</f>
        <v>530</v>
      </c>
      <c r="E42" s="403">
        <f>C42-D42</f>
        <v>-200</v>
      </c>
    </row>
    <row r="43" spans="1:5" ht="21" customHeight="1">
      <c r="A43" s="596">
        <v>20371</v>
      </c>
      <c r="B43" s="355" t="s">
        <v>534</v>
      </c>
      <c r="C43" s="580">
        <v>16076</v>
      </c>
      <c r="D43" s="402">
        <f>A43+590</f>
        <v>20961</v>
      </c>
      <c r="E43" s="403">
        <f>C43-D43</f>
        <v>-4885</v>
      </c>
    </row>
    <row r="44" spans="1:5" ht="21" customHeight="1">
      <c r="A44" s="596">
        <v>111820</v>
      </c>
      <c r="B44" s="355" t="s">
        <v>536</v>
      </c>
      <c r="C44" s="580">
        <v>104640</v>
      </c>
      <c r="D44" s="402">
        <f>A44+1000</f>
        <v>112820</v>
      </c>
      <c r="E44" s="403">
        <f>C44-D44</f>
        <v>-8180</v>
      </c>
    </row>
    <row r="45" spans="1:5" ht="21" customHeight="1">
      <c r="A45" s="596"/>
      <c r="B45" s="355" t="s">
        <v>538</v>
      </c>
      <c r="C45" s="580">
        <v>0</v>
      </c>
      <c r="D45" s="402">
        <v>0</v>
      </c>
      <c r="E45" s="403">
        <f>C45-D45</f>
        <v>0</v>
      </c>
    </row>
    <row r="46" spans="1:5" ht="21" customHeight="1">
      <c r="A46" s="596">
        <v>3040</v>
      </c>
      <c r="B46" s="355" t="s">
        <v>505</v>
      </c>
      <c r="C46" s="580">
        <v>3883</v>
      </c>
      <c r="D46" s="402">
        <f>A46+1000</f>
        <v>4040</v>
      </c>
      <c r="E46" s="403">
        <f>C46-D46</f>
        <v>-157</v>
      </c>
    </row>
    <row r="47" spans="1:5" ht="20.100000000000001" customHeight="1">
      <c r="A47" s="595">
        <f>A48</f>
        <v>110928</v>
      </c>
      <c r="B47" s="402" t="s">
        <v>542</v>
      </c>
      <c r="C47" s="580">
        <f>SUM(C48:C48)</f>
        <v>113000</v>
      </c>
      <c r="D47" s="402">
        <f>SUM(D48:D48)</f>
        <v>110928</v>
      </c>
      <c r="E47" s="403">
        <f>SUM(E48:E48)</f>
        <v>2072</v>
      </c>
    </row>
    <row r="48" spans="1:5" ht="21" customHeight="1">
      <c r="A48" s="596">
        <v>110928</v>
      </c>
      <c r="B48" s="355" t="s">
        <v>506</v>
      </c>
      <c r="C48" s="591">
        <v>113000</v>
      </c>
      <c r="D48" s="355">
        <f>A48</f>
        <v>110928</v>
      </c>
      <c r="E48" s="403">
        <f>C48-D48</f>
        <v>2072</v>
      </c>
    </row>
    <row r="49" spans="1:5" ht="21" customHeight="1">
      <c r="A49" s="596"/>
      <c r="B49" s="355"/>
      <c r="C49" s="355"/>
      <c r="D49" s="355"/>
      <c r="E49" s="403"/>
    </row>
    <row r="50" spans="1:5" ht="20.100000000000001" customHeight="1">
      <c r="A50" s="595">
        <f>A51</f>
        <v>19392</v>
      </c>
      <c r="B50" s="402" t="s">
        <v>545</v>
      </c>
      <c r="C50" s="580">
        <f>C51</f>
        <v>19442</v>
      </c>
      <c r="D50" s="402">
        <f>D51</f>
        <v>18892</v>
      </c>
      <c r="E50" s="403">
        <f>E51</f>
        <v>550</v>
      </c>
    </row>
    <row r="51" spans="1:5" ht="20.100000000000001" customHeight="1">
      <c r="A51" s="595">
        <v>19392</v>
      </c>
      <c r="B51" s="402" t="s">
        <v>546</v>
      </c>
      <c r="C51" s="580">
        <f>C52+C53</f>
        <v>19442</v>
      </c>
      <c r="D51" s="402">
        <f>D52+D53</f>
        <v>18892</v>
      </c>
      <c r="E51" s="403">
        <f>E52+E53</f>
        <v>550</v>
      </c>
    </row>
    <row r="52" spans="1:5" ht="21" customHeight="1">
      <c r="A52" s="596">
        <v>12554</v>
      </c>
      <c r="B52" s="355" t="s">
        <v>547</v>
      </c>
      <c r="C52" s="580">
        <v>12200</v>
      </c>
      <c r="D52" s="402">
        <f>A52-1000</f>
        <v>11554</v>
      </c>
      <c r="E52" s="403">
        <f>C52-D52</f>
        <v>646</v>
      </c>
    </row>
    <row r="53" spans="1:5" ht="21" customHeight="1">
      <c r="A53" s="596">
        <v>6838</v>
      </c>
      <c r="B53" s="355" t="s">
        <v>548</v>
      </c>
      <c r="C53" s="580">
        <v>7242</v>
      </c>
      <c r="D53" s="402">
        <f>A53+500</f>
        <v>7338</v>
      </c>
      <c r="E53" s="403">
        <f>C53-D53</f>
        <v>-96</v>
      </c>
    </row>
    <row r="54" spans="1:5" ht="21" customHeight="1">
      <c r="A54" s="378"/>
      <c r="B54" s="355"/>
      <c r="C54" s="402"/>
      <c r="D54" s="402"/>
      <c r="E54" s="403"/>
    </row>
    <row r="55" spans="1:5" ht="21" customHeight="1">
      <c r="A55" s="378"/>
      <c r="B55" s="355"/>
      <c r="C55" s="402"/>
      <c r="D55" s="402"/>
      <c r="E55" s="403"/>
    </row>
    <row r="56" spans="1:5" ht="21" customHeight="1">
      <c r="A56" s="378"/>
      <c r="B56" s="355"/>
      <c r="C56" s="402"/>
      <c r="D56" s="402"/>
      <c r="E56" s="403"/>
    </row>
    <row r="57" spans="1:5" ht="21" customHeight="1">
      <c r="A57" s="380"/>
      <c r="B57" s="354"/>
      <c r="C57" s="354"/>
      <c r="D57" s="354"/>
      <c r="E57" s="411"/>
    </row>
    <row r="58" spans="1:5" ht="20.100000000000001" customHeight="1">
      <c r="A58" s="599">
        <f>A59+A63+A67</f>
        <v>228395</v>
      </c>
      <c r="B58" s="408" t="s">
        <v>428</v>
      </c>
      <c r="C58" s="588">
        <f>C59+C63+C67</f>
        <v>247729</v>
      </c>
      <c r="D58" s="588">
        <f>D59+D63+D67</f>
        <v>237897</v>
      </c>
      <c r="E58" s="410">
        <f>E59+E67</f>
        <v>9832</v>
      </c>
    </row>
    <row r="59" spans="1:5" ht="20.100000000000001" customHeight="1">
      <c r="A59" s="595">
        <f>A60</f>
        <v>127203</v>
      </c>
      <c r="B59" s="402" t="s">
        <v>136</v>
      </c>
      <c r="C59" s="580">
        <f t="shared" ref="C59:E60" si="2">C60</f>
        <v>127203</v>
      </c>
      <c r="D59" s="580">
        <f t="shared" si="2"/>
        <v>127203</v>
      </c>
      <c r="E59" s="403">
        <f t="shared" si="2"/>
        <v>0</v>
      </c>
    </row>
    <row r="60" spans="1:5" ht="20.100000000000001" customHeight="1">
      <c r="A60" s="595">
        <f>A61</f>
        <v>127203</v>
      </c>
      <c r="B60" s="402" t="s">
        <v>137</v>
      </c>
      <c r="C60" s="580">
        <f t="shared" si="2"/>
        <v>127203</v>
      </c>
      <c r="D60" s="580">
        <f t="shared" si="2"/>
        <v>127203</v>
      </c>
      <c r="E60" s="403">
        <f t="shared" si="2"/>
        <v>0</v>
      </c>
    </row>
    <row r="61" spans="1:5" ht="21" customHeight="1">
      <c r="A61" s="596">
        <v>127203</v>
      </c>
      <c r="B61" s="355" t="s">
        <v>138</v>
      </c>
      <c r="C61" s="591">
        <v>127203</v>
      </c>
      <c r="D61" s="591">
        <f>A61</f>
        <v>127203</v>
      </c>
      <c r="E61" s="403">
        <f>C61-D61</f>
        <v>0</v>
      </c>
    </row>
    <row r="62" spans="1:5" ht="21" customHeight="1">
      <c r="A62" s="596"/>
      <c r="B62" s="355"/>
      <c r="C62" s="591"/>
      <c r="D62" s="591"/>
      <c r="E62" s="403"/>
    </row>
    <row r="63" spans="1:5" ht="21" customHeight="1">
      <c r="A63" s="595">
        <f>A64</f>
        <v>160</v>
      </c>
      <c r="B63" s="402" t="s">
        <v>794</v>
      </c>
      <c r="C63" s="591">
        <f>C64</f>
        <v>160</v>
      </c>
      <c r="D63" s="591">
        <f>D64</f>
        <v>160</v>
      </c>
      <c r="E63" s="403"/>
    </row>
    <row r="64" spans="1:5" ht="21" customHeight="1">
      <c r="A64" s="595">
        <f>A65</f>
        <v>160</v>
      </c>
      <c r="B64" s="402" t="s">
        <v>795</v>
      </c>
      <c r="C64" s="591">
        <f>C65</f>
        <v>160</v>
      </c>
      <c r="D64" s="591">
        <f>D65</f>
        <v>160</v>
      </c>
      <c r="E64" s="403"/>
    </row>
    <row r="65" spans="1:5" ht="21" customHeight="1">
      <c r="A65" s="596">
        <v>160</v>
      </c>
      <c r="B65" s="412" t="s">
        <v>796</v>
      </c>
      <c r="C65" s="591">
        <v>160</v>
      </c>
      <c r="D65" s="591">
        <v>160</v>
      </c>
      <c r="E65" s="403"/>
    </row>
    <row r="66" spans="1:5" ht="21" customHeight="1">
      <c r="A66" s="596"/>
      <c r="B66" s="355"/>
      <c r="C66" s="355"/>
      <c r="D66" s="591"/>
      <c r="E66" s="403"/>
    </row>
    <row r="67" spans="1:5" ht="20.100000000000001" customHeight="1">
      <c r="A67" s="595">
        <f>A68</f>
        <v>101032</v>
      </c>
      <c r="B67" s="402" t="s">
        <v>553</v>
      </c>
      <c r="C67" s="580">
        <f>C68</f>
        <v>120366</v>
      </c>
      <c r="D67" s="580">
        <f>D68</f>
        <v>110534</v>
      </c>
      <c r="E67" s="403">
        <f>E68</f>
        <v>9832</v>
      </c>
    </row>
    <row r="68" spans="1:5" ht="20.100000000000001" customHeight="1">
      <c r="A68" s="595">
        <f>SUM(A69)</f>
        <v>101032</v>
      </c>
      <c r="B68" s="402" t="s">
        <v>139</v>
      </c>
      <c r="C68" s="580">
        <f>SUM(C69)</f>
        <v>120366</v>
      </c>
      <c r="D68" s="580">
        <f>SUM(D69)</f>
        <v>110534</v>
      </c>
      <c r="E68" s="403">
        <f>SUM(E69)</f>
        <v>9832</v>
      </c>
    </row>
    <row r="69" spans="1:5" ht="21" customHeight="1">
      <c r="A69" s="597">
        <v>101032</v>
      </c>
      <c r="B69" s="412" t="s">
        <v>140</v>
      </c>
      <c r="C69" s="609">
        <f>D69+9832</f>
        <v>120366</v>
      </c>
      <c r="D69" s="601">
        <f>A69+9502</f>
        <v>110534</v>
      </c>
      <c r="E69" s="403">
        <f>C69-D69</f>
        <v>9832</v>
      </c>
    </row>
    <row r="70" spans="1:5" ht="21" customHeight="1">
      <c r="A70" s="597"/>
      <c r="B70" s="412"/>
      <c r="C70" s="412"/>
      <c r="D70" s="412"/>
      <c r="E70" s="403"/>
    </row>
    <row r="71" spans="1:5" ht="20.100000000000001" customHeight="1" thickBot="1">
      <c r="A71" s="600">
        <f>A39+A58</f>
        <v>494476</v>
      </c>
      <c r="B71" s="413" t="s">
        <v>560</v>
      </c>
      <c r="C71" s="414">
        <f>C39+C58</f>
        <v>505100</v>
      </c>
      <c r="D71" s="414">
        <f>D39+D58</f>
        <v>506068</v>
      </c>
      <c r="E71" s="415">
        <f>E39+E58</f>
        <v>-968</v>
      </c>
    </row>
    <row r="72" spans="1:5">
      <c r="A72" s="605" t="s">
        <v>932</v>
      </c>
      <c r="B72" s="606"/>
      <c r="C72" s="605"/>
      <c r="D72" s="606"/>
      <c r="E72" s="605"/>
    </row>
  </sheetData>
  <mergeCells count="5">
    <mergeCell ref="A1:E1"/>
    <mergeCell ref="A2:E2"/>
    <mergeCell ref="A3:E3"/>
    <mergeCell ref="A4:E4"/>
    <mergeCell ref="A5:E5"/>
  </mergeCells>
  <phoneticPr fontId="14" type="noConversion"/>
  <printOptions horizontalCentered="1"/>
  <pageMargins left="0.6692913385826772" right="0.6692913385826772" top="0.59055118110236227" bottom="0.59055118110236227" header="0.51181102362204722" footer="0.51181102362204722"/>
  <pageSetup paperSize="9" scale="87" firstPageNumber="36" orientation="portrait" blackAndWhite="1" useFirstPageNumber="1" r:id="rId1"/>
  <headerFooter alignWithMargins="0">
    <oddFooter>&amp;C&amp;"Arial Unicode MS,標準"&amp;P</oddFooter>
  </headerFooter>
  <legacyDrawing r:id="rId2"/>
</worksheet>
</file>

<file path=xl/worksheets/sheet38.xml><?xml version="1.0" encoding="utf-8"?>
<worksheet xmlns="http://schemas.openxmlformats.org/spreadsheetml/2006/main" xmlns:r="http://schemas.openxmlformats.org/officeDocument/2006/relationships">
  <sheetPr codeName="Sheet40"/>
  <dimension ref="A1:J35"/>
  <sheetViews>
    <sheetView workbookViewId="0">
      <selection activeCell="D14" sqref="D14"/>
    </sheetView>
  </sheetViews>
  <sheetFormatPr defaultColWidth="9" defaultRowHeight="16.5"/>
  <cols>
    <col min="1" max="1" width="19.5" style="1" customWidth="1"/>
    <col min="2" max="2" width="5.875" style="1" customWidth="1"/>
    <col min="3" max="3" width="9.125" style="1" customWidth="1"/>
    <col min="4" max="4" width="11.375" style="1" customWidth="1"/>
    <col min="5" max="5" width="10.75" style="1" customWidth="1"/>
    <col min="6" max="6" width="34.625" style="1" customWidth="1"/>
    <col min="7" max="16384" width="9" style="1"/>
  </cols>
  <sheetData>
    <row r="1" spans="1:10" ht="25.5">
      <c r="A1" s="979" t="s">
        <v>355</v>
      </c>
      <c r="B1" s="979"/>
      <c r="C1" s="979"/>
      <c r="D1" s="979"/>
      <c r="E1" s="979"/>
      <c r="F1" s="979"/>
      <c r="G1" s="3"/>
      <c r="H1" s="3"/>
      <c r="I1" s="3"/>
      <c r="J1" s="3"/>
    </row>
    <row r="2" spans="1:10" ht="21">
      <c r="A2" s="980" t="s">
        <v>356</v>
      </c>
      <c r="B2" s="980"/>
      <c r="C2" s="980"/>
      <c r="D2" s="980"/>
      <c r="E2" s="980"/>
      <c r="F2" s="980"/>
      <c r="G2" s="4"/>
      <c r="H2" s="4"/>
      <c r="I2" s="4"/>
      <c r="J2" s="4"/>
    </row>
    <row r="3" spans="1:10" ht="21">
      <c r="A3" s="981" t="s">
        <v>357</v>
      </c>
      <c r="B3" s="981"/>
      <c r="C3" s="981"/>
      <c r="D3" s="981"/>
      <c r="E3" s="981"/>
      <c r="F3" s="981"/>
      <c r="G3" s="5"/>
      <c r="H3" s="5"/>
      <c r="I3" s="5"/>
      <c r="J3" s="5"/>
    </row>
    <row r="4" spans="1:10" s="128" customFormat="1" ht="19.5">
      <c r="A4" s="982" t="s">
        <v>1087</v>
      </c>
      <c r="B4" s="982"/>
      <c r="C4" s="982"/>
      <c r="D4" s="982"/>
      <c r="E4" s="982"/>
      <c r="F4" s="982"/>
      <c r="G4" s="5"/>
      <c r="H4" s="5"/>
      <c r="I4" s="5"/>
      <c r="J4" s="5"/>
    </row>
    <row r="5" spans="1:10" ht="17.25" thickBot="1">
      <c r="A5" s="3"/>
      <c r="B5" s="3"/>
      <c r="C5" s="3"/>
      <c r="D5" s="3"/>
      <c r="F5" s="11" t="s">
        <v>619</v>
      </c>
      <c r="G5" s="3"/>
    </row>
    <row r="6" spans="1:10" ht="42" customHeight="1">
      <c r="A6" s="137" t="s">
        <v>89</v>
      </c>
      <c r="B6" s="138" t="s">
        <v>90</v>
      </c>
      <c r="C6" s="138" t="s">
        <v>91</v>
      </c>
      <c r="D6" s="207" t="s">
        <v>362</v>
      </c>
      <c r="E6" s="138" t="s">
        <v>1022</v>
      </c>
      <c r="F6" s="208" t="s">
        <v>358</v>
      </c>
    </row>
    <row r="7" spans="1:10" s="294" customFormat="1" ht="33" customHeight="1">
      <c r="A7" s="232" t="s">
        <v>56</v>
      </c>
      <c r="B7" s="327" t="s">
        <v>811</v>
      </c>
      <c r="C7" s="736">
        <f>C8</f>
        <v>460025</v>
      </c>
      <c r="D7" s="737">
        <f>D8</f>
        <v>1307.350687462638</v>
      </c>
      <c r="E7" s="738">
        <f>SUM(E8:E9)</f>
        <v>601414</v>
      </c>
      <c r="F7" s="329" t="s">
        <v>150</v>
      </c>
    </row>
    <row r="8" spans="1:10" s="25" customFormat="1" ht="33" customHeight="1">
      <c r="A8" s="203" t="s">
        <v>669</v>
      </c>
      <c r="B8" s="327" t="s">
        <v>806</v>
      </c>
      <c r="C8" s="461">
        <f>'19.勞務收入明細'!D8</f>
        <v>460025</v>
      </c>
      <c r="D8" s="553">
        <f>(E8/C8)*1000</f>
        <v>1307.350687462638</v>
      </c>
      <c r="E8" s="973">
        <f>'15.收支預計表'!D16</f>
        <v>601414</v>
      </c>
      <c r="F8" s="1269" t="s">
        <v>852</v>
      </c>
    </row>
    <row r="9" spans="1:10" s="25" customFormat="1">
      <c r="A9" s="204"/>
      <c r="B9" s="181"/>
      <c r="C9" s="460"/>
      <c r="D9" s="552"/>
      <c r="E9" s="463"/>
      <c r="F9" s="1270"/>
    </row>
    <row r="10" spans="1:10" s="25" customFormat="1">
      <c r="A10" s="234"/>
      <c r="B10" s="180"/>
      <c r="C10" s="461"/>
      <c r="D10" s="553"/>
      <c r="E10" s="464"/>
      <c r="F10" s="231"/>
    </row>
    <row r="11" spans="1:10" s="294" customFormat="1" ht="33" customHeight="1">
      <c r="A11" s="229" t="s">
        <v>57</v>
      </c>
      <c r="B11" s="327" t="s">
        <v>806</v>
      </c>
      <c r="C11" s="736">
        <f>C12</f>
        <v>465758</v>
      </c>
      <c r="D11" s="737">
        <f>D12</f>
        <v>1296.1988843991944</v>
      </c>
      <c r="E11" s="739">
        <f>SUM(E12:E13)</f>
        <v>603715</v>
      </c>
      <c r="F11" s="331"/>
    </row>
    <row r="12" spans="1:10" s="25" customFormat="1" ht="33" customHeight="1">
      <c r="A12" s="203" t="s">
        <v>670</v>
      </c>
      <c r="B12" s="327" t="s">
        <v>806</v>
      </c>
      <c r="C12" s="461">
        <v>465758</v>
      </c>
      <c r="D12" s="553">
        <f>(E12/C12)*1000</f>
        <v>1296.1988843991944</v>
      </c>
      <c r="E12" s="973">
        <v>603715</v>
      </c>
      <c r="F12" s="1269" t="s">
        <v>88</v>
      </c>
    </row>
    <row r="13" spans="1:10" s="25" customFormat="1" ht="33" customHeight="1">
      <c r="A13" s="204"/>
      <c r="B13" s="181"/>
      <c r="C13" s="460"/>
      <c r="D13" s="552"/>
      <c r="E13" s="463"/>
      <c r="F13" s="1270"/>
    </row>
    <row r="14" spans="1:10" s="294" customFormat="1" ht="33" customHeight="1">
      <c r="A14" s="229" t="s">
        <v>464</v>
      </c>
      <c r="B14" s="327" t="s">
        <v>806</v>
      </c>
      <c r="C14" s="736">
        <f>C15</f>
        <v>431408</v>
      </c>
      <c r="D14" s="737">
        <f>D15</f>
        <v>1328.4779141786894</v>
      </c>
      <c r="E14" s="739">
        <f>SUM(E15:E16)</f>
        <v>573116</v>
      </c>
      <c r="F14" s="331"/>
    </row>
    <row r="15" spans="1:10" s="25" customFormat="1" ht="33" customHeight="1">
      <c r="A15" s="203" t="s">
        <v>670</v>
      </c>
      <c r="B15" s="327" t="s">
        <v>806</v>
      </c>
      <c r="C15" s="461">
        <v>431408</v>
      </c>
      <c r="D15" s="553">
        <f>(E15/C15)*1000</f>
        <v>1328.4779141786894</v>
      </c>
      <c r="E15" s="973">
        <v>573116</v>
      </c>
      <c r="F15" s="1269" t="s">
        <v>852</v>
      </c>
    </row>
    <row r="16" spans="1:10" ht="33" customHeight="1">
      <c r="A16" s="203"/>
      <c r="B16" s="180"/>
      <c r="C16" s="460"/>
      <c r="D16" s="552"/>
      <c r="E16" s="465"/>
      <c r="F16" s="1270"/>
    </row>
    <row r="17" spans="1:6" ht="33" customHeight="1">
      <c r="A17" s="229" t="s">
        <v>1089</v>
      </c>
      <c r="B17" s="327" t="s">
        <v>806</v>
      </c>
      <c r="C17" s="736">
        <f>C18</f>
        <v>470425</v>
      </c>
      <c r="D17" s="737">
        <f>D18</f>
        <v>1217.9922410586173</v>
      </c>
      <c r="E17" s="739">
        <f>SUM(E18:E19)</f>
        <v>572974</v>
      </c>
      <c r="F17" s="331"/>
    </row>
    <row r="18" spans="1:6" ht="33" customHeight="1">
      <c r="A18" s="203" t="s">
        <v>669</v>
      </c>
      <c r="B18" s="327" t="s">
        <v>806</v>
      </c>
      <c r="C18" s="461">
        <v>470425</v>
      </c>
      <c r="D18" s="553">
        <f>(E18/C18)*1000</f>
        <v>1217.9922410586173</v>
      </c>
      <c r="E18" s="973">
        <v>572974</v>
      </c>
      <c r="F18" s="1269" t="s">
        <v>88</v>
      </c>
    </row>
    <row r="19" spans="1:6" ht="33" customHeight="1">
      <c r="A19" s="206"/>
      <c r="B19" s="8"/>
      <c r="C19" s="462"/>
      <c r="D19" s="554"/>
      <c r="E19" s="466"/>
      <c r="F19" s="1270"/>
    </row>
    <row r="20" spans="1:6" s="294" customFormat="1" ht="33" customHeight="1">
      <c r="A20" s="229" t="s">
        <v>1088</v>
      </c>
      <c r="B20" s="327" t="s">
        <v>806</v>
      </c>
      <c r="C20" s="736">
        <f>C21</f>
        <v>475810</v>
      </c>
      <c r="D20" s="737">
        <f>D21</f>
        <v>1179.1996805447552</v>
      </c>
      <c r="E20" s="739">
        <f>SUM(E21:E22)</f>
        <v>561075</v>
      </c>
      <c r="F20" s="331"/>
    </row>
    <row r="21" spans="1:6" s="25" customFormat="1" ht="33" customHeight="1">
      <c r="A21" s="203" t="s">
        <v>670</v>
      </c>
      <c r="B21" s="327" t="s">
        <v>806</v>
      </c>
      <c r="C21" s="461">
        <v>475810</v>
      </c>
      <c r="D21" s="553">
        <f>(E21/C21)*1000</f>
        <v>1179.1996805447552</v>
      </c>
      <c r="E21" s="973">
        <v>561075</v>
      </c>
      <c r="F21" s="1269" t="s">
        <v>685</v>
      </c>
    </row>
    <row r="22" spans="1:6" ht="16.5" customHeight="1">
      <c r="A22" s="206"/>
      <c r="B22" s="8"/>
      <c r="C22" s="458"/>
      <c r="D22" s="10"/>
      <c r="E22" s="182"/>
      <c r="F22" s="1270"/>
    </row>
    <row r="23" spans="1:6" ht="16.5" customHeight="1">
      <c r="A23" s="205"/>
      <c r="B23" s="179"/>
      <c r="C23" s="458"/>
      <c r="D23" s="10"/>
      <c r="E23" s="227"/>
      <c r="F23" s="17"/>
    </row>
    <row r="24" spans="1:6" ht="16.5" customHeight="1">
      <c r="A24" s="203"/>
      <c r="B24" s="180"/>
      <c r="C24" s="457"/>
      <c r="D24" s="21"/>
      <c r="E24" s="228"/>
      <c r="F24" s="17"/>
    </row>
    <row r="25" spans="1:6" ht="16.5" customHeight="1">
      <c r="A25" s="183"/>
      <c r="B25" s="179"/>
      <c r="C25" s="458"/>
      <c r="D25" s="10"/>
      <c r="E25" s="182"/>
      <c r="F25" s="17"/>
    </row>
    <row r="26" spans="1:6" ht="16.5" customHeight="1">
      <c r="A26" s="183"/>
      <c r="B26" s="179"/>
      <c r="C26" s="458"/>
      <c r="D26" s="10"/>
      <c r="E26" s="182"/>
      <c r="F26" s="17"/>
    </row>
    <row r="27" spans="1:6" ht="16.5" customHeight="1">
      <c r="A27" s="183"/>
      <c r="B27" s="179"/>
      <c r="C27" s="458"/>
      <c r="D27" s="10"/>
      <c r="E27" s="182"/>
      <c r="F27" s="17"/>
    </row>
    <row r="28" spans="1:6" ht="16.5" customHeight="1">
      <c r="A28" s="139"/>
      <c r="B28" s="8"/>
      <c r="C28" s="458"/>
      <c r="D28" s="10"/>
      <c r="E28" s="7"/>
      <c r="F28" s="17"/>
    </row>
    <row r="29" spans="1:6" ht="16.5" customHeight="1">
      <c r="A29" s="140"/>
      <c r="B29" s="10"/>
      <c r="C29" s="458"/>
      <c r="D29" s="10"/>
      <c r="E29" s="7"/>
      <c r="F29" s="17"/>
    </row>
    <row r="30" spans="1:6" ht="16.5" customHeight="1">
      <c r="A30" s="140"/>
      <c r="B30" s="10"/>
      <c r="C30" s="458"/>
      <c r="D30" s="10"/>
      <c r="E30" s="7"/>
      <c r="F30" s="17"/>
    </row>
    <row r="31" spans="1:6" ht="16.5" customHeight="1">
      <c r="A31" s="140"/>
      <c r="B31" s="10"/>
      <c r="C31" s="458"/>
      <c r="D31" s="10"/>
      <c r="E31" s="7"/>
      <c r="F31" s="17"/>
    </row>
    <row r="32" spans="1:6" ht="16.5" customHeight="1">
      <c r="A32" s="139"/>
      <c r="B32" s="18"/>
      <c r="C32" s="458"/>
      <c r="D32" s="10"/>
      <c r="E32" s="7"/>
      <c r="F32" s="17"/>
    </row>
    <row r="33" spans="1:6" ht="21.6" customHeight="1" thickBot="1">
      <c r="A33" s="77"/>
      <c r="B33" s="16"/>
      <c r="C33" s="459"/>
      <c r="D33" s="16"/>
      <c r="E33" s="24"/>
      <c r="F33" s="26"/>
    </row>
    <row r="35" spans="1:6">
      <c r="D35"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5" firstPageNumber="36" orientation="portrait" blackAndWhite="1" useFirstPageNumber="1" r:id="rId1"/>
  <headerFooter scaleWithDoc="0" alignWithMargins="0">
    <oddFooter>&amp;C&amp;"Arial Unicode MS,標準"&amp;P</oddFooter>
  </headerFooter>
</worksheet>
</file>

<file path=xl/worksheets/sheet39.xml><?xml version="1.0" encoding="utf-8"?>
<worksheet xmlns="http://schemas.openxmlformats.org/spreadsheetml/2006/main" xmlns:r="http://schemas.openxmlformats.org/officeDocument/2006/relationships">
  <sheetPr codeName="Sheet41" enableFormatConditionsCalculation="0"/>
  <dimension ref="A1:J34"/>
  <sheetViews>
    <sheetView view="pageBreakPreview" zoomScale="60" zoomScaleNormal="100" workbookViewId="0">
      <selection activeCell="E18" sqref="E18"/>
    </sheetView>
  </sheetViews>
  <sheetFormatPr defaultColWidth="9" defaultRowHeight="16.5"/>
  <cols>
    <col min="1" max="1" width="20.25" style="1" customWidth="1"/>
    <col min="2" max="2" width="5.5" style="1" customWidth="1"/>
    <col min="3" max="3" width="12.5" style="1" bestFit="1" customWidth="1"/>
    <col min="4" max="4" width="11.25" style="1" customWidth="1"/>
    <col min="5" max="5" width="12.625" style="1" customWidth="1"/>
    <col min="6" max="6" width="34.625" style="1" customWidth="1"/>
    <col min="7" max="16384" width="9" style="1"/>
  </cols>
  <sheetData>
    <row r="1" spans="1:10" ht="25.5">
      <c r="A1" s="979" t="s">
        <v>355</v>
      </c>
      <c r="B1" s="979"/>
      <c r="C1" s="979"/>
      <c r="D1" s="979"/>
      <c r="E1" s="979"/>
      <c r="F1" s="979"/>
      <c r="G1" s="3"/>
      <c r="H1" s="3"/>
      <c r="I1" s="3"/>
      <c r="J1" s="3"/>
    </row>
    <row r="2" spans="1:10" ht="21">
      <c r="A2" s="980" t="s">
        <v>356</v>
      </c>
      <c r="B2" s="980"/>
      <c r="C2" s="980"/>
      <c r="D2" s="980"/>
      <c r="E2" s="980"/>
      <c r="F2" s="980"/>
      <c r="G2" s="4"/>
      <c r="H2" s="4"/>
      <c r="I2" s="4"/>
      <c r="J2" s="4"/>
    </row>
    <row r="3" spans="1:10" ht="21">
      <c r="A3" s="981" t="s">
        <v>357</v>
      </c>
      <c r="B3" s="981"/>
      <c r="C3" s="981"/>
      <c r="D3" s="981"/>
      <c r="E3" s="981"/>
      <c r="F3" s="981"/>
      <c r="G3" s="5"/>
      <c r="H3" s="5"/>
      <c r="I3" s="5"/>
      <c r="J3" s="5"/>
    </row>
    <row r="4" spans="1:10" s="128" customFormat="1" ht="19.5">
      <c r="A4" s="982" t="s">
        <v>792</v>
      </c>
      <c r="B4" s="982"/>
      <c r="C4" s="982"/>
      <c r="D4" s="982"/>
      <c r="E4" s="982"/>
      <c r="F4" s="982"/>
      <c r="G4" s="5"/>
      <c r="H4" s="5"/>
      <c r="I4" s="5"/>
      <c r="J4" s="5"/>
    </row>
    <row r="5" spans="1:10" ht="17.25" thickBot="1">
      <c r="A5" s="3"/>
      <c r="B5" s="3"/>
      <c r="C5" s="3"/>
      <c r="D5" s="3"/>
      <c r="F5" s="11" t="s">
        <v>619</v>
      </c>
      <c r="G5" s="3"/>
    </row>
    <row r="6" spans="1:10" ht="42" customHeight="1">
      <c r="A6" s="137" t="s">
        <v>512</v>
      </c>
      <c r="B6" s="138" t="s">
        <v>513</v>
      </c>
      <c r="C6" s="138" t="s">
        <v>514</v>
      </c>
      <c r="D6" s="207" t="s">
        <v>515</v>
      </c>
      <c r="E6" s="138" t="s">
        <v>516</v>
      </c>
      <c r="F6" s="208" t="s">
        <v>517</v>
      </c>
    </row>
    <row r="7" spans="1:10" s="294" customFormat="1" ht="33" customHeight="1">
      <c r="A7" s="232" t="s">
        <v>56</v>
      </c>
      <c r="B7" s="327" t="s">
        <v>812</v>
      </c>
      <c r="C7" s="470">
        <f>C8</f>
        <v>500824</v>
      </c>
      <c r="D7" s="556">
        <f>D8</f>
        <v>1200.8490008466049</v>
      </c>
      <c r="E7" s="328">
        <f>SUM(E8:E9)</f>
        <v>601414</v>
      </c>
      <c r="F7" s="329" t="s">
        <v>150</v>
      </c>
    </row>
    <row r="8" spans="1:10" s="25" customFormat="1" ht="33" customHeight="1">
      <c r="A8" s="203" t="s">
        <v>670</v>
      </c>
      <c r="B8" s="180" t="s">
        <v>812</v>
      </c>
      <c r="C8" s="467">
        <v>500824</v>
      </c>
      <c r="D8" s="552">
        <f>(E8/C8)*1000</f>
        <v>1200.8490008466049</v>
      </c>
      <c r="E8" s="233">
        <f>'15.收支預計表'!D16</f>
        <v>601414</v>
      </c>
      <c r="F8" s="1269" t="s">
        <v>776</v>
      </c>
    </row>
    <row r="9" spans="1:10" s="25" customFormat="1">
      <c r="A9" s="204"/>
      <c r="B9" s="181"/>
      <c r="C9" s="467"/>
      <c r="D9" s="552"/>
      <c r="E9" s="27"/>
      <c r="F9" s="1270"/>
    </row>
    <row r="10" spans="1:10" s="25" customFormat="1">
      <c r="A10" s="234"/>
      <c r="B10" s="180"/>
      <c r="C10" s="468"/>
      <c r="D10" s="553"/>
      <c r="E10" s="230"/>
      <c r="F10" s="231"/>
    </row>
    <row r="11" spans="1:10" s="294" customFormat="1" ht="33" customHeight="1">
      <c r="A11" s="229" t="s">
        <v>57</v>
      </c>
      <c r="B11" s="327" t="s">
        <v>812</v>
      </c>
      <c r="C11" s="469">
        <f>C12</f>
        <v>550011</v>
      </c>
      <c r="D11" s="551">
        <f>D12</f>
        <v>1288.6069551336245</v>
      </c>
      <c r="E11" s="330">
        <f>SUM(E12:E13)</f>
        <v>708748</v>
      </c>
      <c r="F11" s="331"/>
    </row>
    <row r="12" spans="1:10" s="25" customFormat="1" ht="33" customHeight="1">
      <c r="A12" s="203" t="s">
        <v>670</v>
      </c>
      <c r="B12" s="180" t="s">
        <v>812</v>
      </c>
      <c r="C12" s="467">
        <v>550011</v>
      </c>
      <c r="D12" s="552">
        <f>(E12/C12)*1000</f>
        <v>1288.6069551336245</v>
      </c>
      <c r="E12" s="233">
        <v>708748</v>
      </c>
      <c r="F12" s="1269" t="s">
        <v>88</v>
      </c>
    </row>
    <row r="13" spans="1:10" s="25" customFormat="1" ht="33" customHeight="1">
      <c r="A13" s="204"/>
      <c r="B13" s="181"/>
      <c r="C13" s="467"/>
      <c r="D13" s="552"/>
      <c r="E13" s="27"/>
      <c r="F13" s="1270"/>
    </row>
    <row r="14" spans="1:10" s="294" customFormat="1" ht="33" customHeight="1">
      <c r="A14" s="229" t="s">
        <v>518</v>
      </c>
      <c r="B14" s="327" t="s">
        <v>812</v>
      </c>
      <c r="C14" s="469">
        <v>688452</v>
      </c>
      <c r="D14" s="551">
        <f>(E14/C14)*1000</f>
        <v>1068.5392736167519</v>
      </c>
      <c r="E14" s="330">
        <v>735638</v>
      </c>
      <c r="F14" s="331"/>
    </row>
    <row r="15" spans="1:10" s="25" customFormat="1" ht="33" customHeight="1">
      <c r="A15" s="203" t="s">
        <v>670</v>
      </c>
      <c r="B15" s="180" t="s">
        <v>812</v>
      </c>
      <c r="C15" s="467">
        <v>538237</v>
      </c>
      <c r="D15" s="552">
        <f>(E15/C15)*1000</f>
        <v>1206.1266691067319</v>
      </c>
      <c r="E15" s="233">
        <v>649182</v>
      </c>
      <c r="F15" s="1269" t="s">
        <v>88</v>
      </c>
    </row>
    <row r="16" spans="1:10" ht="33" customHeight="1">
      <c r="A16" s="203"/>
      <c r="B16" s="180"/>
      <c r="C16" s="467"/>
      <c r="D16" s="552"/>
      <c r="E16" s="228"/>
      <c r="F16" s="1270"/>
    </row>
    <row r="17" spans="1:6" ht="33" customHeight="1">
      <c r="A17" s="229" t="s">
        <v>814</v>
      </c>
      <c r="B17" s="327" t="s">
        <v>812</v>
      </c>
      <c r="C17" s="469">
        <f>C18</f>
        <v>688452</v>
      </c>
      <c r="D17" s="551">
        <f>D18</f>
        <v>942.95753371331625</v>
      </c>
      <c r="E17" s="330">
        <f>SUM(E18:E19)</f>
        <v>735638</v>
      </c>
      <c r="F17" s="331"/>
    </row>
    <row r="18" spans="1:6" ht="33" customHeight="1">
      <c r="A18" s="203" t="s">
        <v>669</v>
      </c>
      <c r="B18" s="180" t="s">
        <v>812</v>
      </c>
      <c r="C18" s="467">
        <v>688452</v>
      </c>
      <c r="D18" s="552">
        <v>942.95753371331625</v>
      </c>
      <c r="E18" s="233">
        <v>735638</v>
      </c>
      <c r="F18" s="1269" t="s">
        <v>88</v>
      </c>
    </row>
    <row r="19" spans="1:6" ht="33" customHeight="1">
      <c r="A19" s="203"/>
      <c r="B19" s="180"/>
      <c r="C19" s="467"/>
      <c r="D19" s="552"/>
      <c r="E19" s="228"/>
      <c r="F19" s="1270"/>
    </row>
    <row r="20" spans="1:6" s="294" customFormat="1" ht="33" customHeight="1">
      <c r="A20" s="229" t="s">
        <v>813</v>
      </c>
      <c r="B20" s="327" t="s">
        <v>812</v>
      </c>
      <c r="C20" s="469">
        <f>C21</f>
        <v>794867</v>
      </c>
      <c r="D20" s="551">
        <f>D21</f>
        <v>1012.7115605503814</v>
      </c>
      <c r="E20" s="330">
        <f>SUM(E21:E22)</f>
        <v>804971</v>
      </c>
      <c r="F20" s="331"/>
    </row>
    <row r="21" spans="1:6" s="25" customFormat="1" ht="33" customHeight="1">
      <c r="A21" s="203" t="s">
        <v>670</v>
      </c>
      <c r="B21" s="180" t="s">
        <v>812</v>
      </c>
      <c r="C21" s="467">
        <v>794867</v>
      </c>
      <c r="D21" s="552">
        <f>(E21/C21)*1000</f>
        <v>1012.7115605503814</v>
      </c>
      <c r="E21" s="233">
        <v>804971</v>
      </c>
      <c r="F21" s="1269" t="s">
        <v>88</v>
      </c>
    </row>
    <row r="22" spans="1:6" ht="33" customHeight="1">
      <c r="A22" s="203"/>
      <c r="B22" s="180"/>
      <c r="C22" s="20"/>
      <c r="D22" s="21"/>
      <c r="E22" s="228"/>
      <c r="F22" s="1270"/>
    </row>
    <row r="23" spans="1:6" ht="16.5" customHeight="1">
      <c r="A23" s="206"/>
      <c r="B23" s="8"/>
      <c r="C23" s="8"/>
      <c r="D23" s="10"/>
      <c r="E23" s="182"/>
      <c r="F23" s="17"/>
    </row>
    <row r="24" spans="1:6" ht="16.5" customHeight="1">
      <c r="A24" s="205"/>
      <c r="B24" s="179"/>
      <c r="C24" s="8"/>
      <c r="D24" s="10"/>
      <c r="E24" s="227"/>
      <c r="F24" s="17"/>
    </row>
    <row r="25" spans="1:6" ht="16.5" customHeight="1">
      <c r="A25" s="203"/>
      <c r="B25" s="180"/>
      <c r="C25" s="20"/>
      <c r="D25" s="21"/>
      <c r="E25" s="228"/>
      <c r="F25" s="17"/>
    </row>
    <row r="26" spans="1:6" ht="16.5" customHeight="1">
      <c r="A26" s="140"/>
      <c r="B26" s="10"/>
      <c r="C26" s="8"/>
      <c r="D26" s="10"/>
      <c r="E26" s="7"/>
      <c r="F26" s="17"/>
    </row>
    <row r="27" spans="1:6" ht="16.5" customHeight="1">
      <c r="A27" s="140"/>
      <c r="B27" s="10"/>
      <c r="C27" s="8"/>
      <c r="D27" s="10"/>
      <c r="E27" s="7"/>
      <c r="F27" s="17"/>
    </row>
    <row r="28" spans="1:6" ht="16.5" customHeight="1">
      <c r="A28" s="140"/>
      <c r="B28" s="10"/>
      <c r="C28" s="8"/>
      <c r="D28" s="10"/>
      <c r="E28" s="7"/>
      <c r="F28" s="17"/>
    </row>
    <row r="29" spans="1:6" ht="16.5" customHeight="1">
      <c r="A29" s="140"/>
      <c r="B29" s="10"/>
      <c r="C29" s="8"/>
      <c r="D29" s="10"/>
      <c r="E29" s="7"/>
      <c r="F29" s="17"/>
    </row>
    <row r="30" spans="1:6" ht="16.5" customHeight="1">
      <c r="A30" s="140"/>
      <c r="B30" s="10"/>
      <c r="C30" s="8"/>
      <c r="D30" s="10"/>
      <c r="E30" s="7"/>
      <c r="F30" s="17"/>
    </row>
    <row r="31" spans="1:6" ht="16.5" customHeight="1">
      <c r="A31" s="140"/>
      <c r="B31" s="10"/>
      <c r="C31" s="8"/>
      <c r="D31" s="10"/>
      <c r="E31" s="7"/>
      <c r="F31" s="17"/>
    </row>
    <row r="32" spans="1:6" ht="31.5" customHeight="1" thickBot="1">
      <c r="A32" s="77"/>
      <c r="B32" s="16"/>
      <c r="C32" s="24"/>
      <c r="D32" s="16"/>
      <c r="E32" s="24"/>
      <c r="F32" s="26"/>
    </row>
    <row r="34" spans="4:4">
      <c r="D34"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1" firstPageNumber="36" orientation="portrait" useFirstPageNumber="1" r:id="rId1"/>
  <headerFooter alignWithMargins="0">
    <oddFooter>&amp;C&amp;"Arial Unicode MS,標準"&amp;P</oddFooter>
  </headerFooter>
</worksheet>
</file>

<file path=xl/worksheets/sheet4.xml><?xml version="1.0" encoding="utf-8"?>
<worksheet xmlns="http://schemas.openxmlformats.org/spreadsheetml/2006/main" xmlns:r="http://schemas.openxmlformats.org/officeDocument/2006/relationships">
  <sheetPr codeName="Sheet5">
    <tabColor rgb="FFFFFFCC"/>
  </sheetPr>
  <dimension ref="A1:E108"/>
  <sheetViews>
    <sheetView zoomScaleNormal="100" workbookViewId="0">
      <selection activeCell="G19" sqref="G19"/>
    </sheetView>
  </sheetViews>
  <sheetFormatPr defaultColWidth="23.125" defaultRowHeight="16.5"/>
  <cols>
    <col min="1" max="1" width="5.25" customWidth="1"/>
    <col min="2" max="2" width="21.125" customWidth="1"/>
    <col min="3" max="3" width="15.875" customWidth="1"/>
    <col min="4" max="4" width="26.375" customWidth="1"/>
    <col min="5" max="5" width="16.25" customWidth="1"/>
  </cols>
  <sheetData>
    <row r="1" spans="1:5" s="118" customFormat="1" ht="19.5" customHeight="1">
      <c r="B1" s="979" t="s">
        <v>144</v>
      </c>
      <c r="C1" s="979"/>
      <c r="D1" s="979"/>
      <c r="E1" s="979"/>
    </row>
    <row r="2" spans="1:5" s="127" customFormat="1" ht="21">
      <c r="B2" s="980" t="s">
        <v>235</v>
      </c>
      <c r="C2" s="980"/>
      <c r="D2" s="980"/>
      <c r="E2" s="980"/>
    </row>
    <row r="3" spans="1:5" s="127" customFormat="1" ht="21">
      <c r="B3" s="981" t="s">
        <v>250</v>
      </c>
      <c r="C3" s="981"/>
      <c r="D3" s="981"/>
      <c r="E3" s="981"/>
    </row>
    <row r="4" spans="1:5" s="128" customFormat="1" ht="19.5">
      <c r="B4" s="982" t="s">
        <v>1100</v>
      </c>
      <c r="C4" s="982"/>
      <c r="D4" s="982"/>
      <c r="E4" s="982"/>
    </row>
    <row r="5" spans="1:5" s="128" customFormat="1" ht="19.5">
      <c r="A5" s="5"/>
      <c r="B5" s="5"/>
      <c r="C5" s="5"/>
      <c r="D5" s="5"/>
      <c r="E5" s="5"/>
    </row>
    <row r="6" spans="1:5" s="1" customFormat="1" ht="21">
      <c r="B6" s="988" t="s">
        <v>1103</v>
      </c>
      <c r="C6" s="988"/>
      <c r="D6" s="988"/>
      <c r="E6" s="988"/>
    </row>
    <row r="7" spans="1:5" s="1" customFormat="1" ht="21">
      <c r="B7" s="989" t="s">
        <v>257</v>
      </c>
      <c r="C7" s="987"/>
      <c r="D7" s="987"/>
      <c r="E7" s="987"/>
    </row>
    <row r="8" spans="1:5" s="1" customFormat="1" ht="17.25" customHeight="1">
      <c r="B8" s="985"/>
      <c r="C8" s="985"/>
      <c r="D8" s="985"/>
      <c r="E8" s="985"/>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ht="12.6" customHeight="1"/>
    <row r="21" spans="2:5" s="1" customFormat="1" ht="10.5" customHeight="1"/>
    <row r="22" spans="2:5" s="1" customFormat="1" ht="26.25" customHeight="1">
      <c r="B22" s="983" t="s">
        <v>258</v>
      </c>
      <c r="C22" s="991"/>
      <c r="D22" s="991"/>
      <c r="E22" s="991"/>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row r="36" spans="2:5" s="1" customFormat="1"/>
    <row r="37" spans="2:5" s="1" customFormat="1" ht="20.25" customHeight="1">
      <c r="B37" s="10"/>
      <c r="C37" s="10"/>
      <c r="D37" s="10"/>
      <c r="E37" s="11" t="s">
        <v>236</v>
      </c>
    </row>
    <row r="38" spans="2:5" s="1" customFormat="1" ht="19.149999999999999" customHeight="1">
      <c r="B38" s="2" t="s">
        <v>259</v>
      </c>
      <c r="C38" s="13" t="s">
        <v>1102</v>
      </c>
      <c r="D38" s="2" t="s">
        <v>260</v>
      </c>
      <c r="E38" s="13" t="s">
        <v>1102</v>
      </c>
    </row>
    <row r="39" spans="2:5" s="1" customFormat="1" ht="19.149999999999999" customHeight="1">
      <c r="B39" s="145" t="s">
        <v>261</v>
      </c>
      <c r="C39" s="126">
        <f>SUM(C40:C41)</f>
        <v>612092</v>
      </c>
      <c r="D39" s="145" t="s">
        <v>262</v>
      </c>
      <c r="E39" s="431">
        <f>SUM(E40:E41)</f>
        <v>601414</v>
      </c>
    </row>
    <row r="40" spans="2:5" s="1" customFormat="1" ht="19.149999999999999" customHeight="1">
      <c r="B40" s="147" t="s">
        <v>263</v>
      </c>
      <c r="C40" s="126">
        <f>'15.收支預計表'!D9</f>
        <v>610642</v>
      </c>
      <c r="D40" s="147" t="s">
        <v>264</v>
      </c>
      <c r="E40" s="126">
        <f>'15.收支預計表'!D15</f>
        <v>601414</v>
      </c>
    </row>
    <row r="41" spans="2:5" s="1" customFormat="1" ht="19.149999999999999" customHeight="1">
      <c r="B41" s="147" t="s">
        <v>828</v>
      </c>
      <c r="C41" s="126">
        <f>'15.收支預計表'!D11</f>
        <v>1450</v>
      </c>
      <c r="D41" s="147"/>
      <c r="E41" s="126"/>
    </row>
    <row r="42" spans="2:5" s="1" customFormat="1" ht="19.149999999999999" customHeight="1">
      <c r="B42" s="146" t="s">
        <v>265</v>
      </c>
      <c r="C42" s="126">
        <f>'15.收支預計表'!D20</f>
        <v>4550</v>
      </c>
      <c r="D42" s="146" t="s">
        <v>829</v>
      </c>
      <c r="E42" s="126">
        <f>'15.收支預計表'!D28</f>
        <v>50</v>
      </c>
    </row>
    <row r="43" spans="2:5" s="1" customFormat="1" ht="19.149999999999999" hidden="1" customHeight="1">
      <c r="B43" s="147"/>
      <c r="C43" s="725"/>
      <c r="D43" s="147"/>
      <c r="E43" s="126"/>
    </row>
    <row r="44" spans="2:5" s="1" customFormat="1" ht="19.149999999999999" customHeight="1">
      <c r="B44" s="147"/>
      <c r="C44" s="725"/>
      <c r="D44" s="146" t="s">
        <v>266</v>
      </c>
      <c r="E44" s="126">
        <f>'15.收支預計表'!D32</f>
        <v>15178</v>
      </c>
    </row>
    <row r="45" spans="2:5" s="1" customFormat="1" ht="19.149999999999999" customHeight="1">
      <c r="B45" s="2" t="s">
        <v>425</v>
      </c>
      <c r="C45" s="726">
        <f>C39+C42</f>
        <v>616642</v>
      </c>
      <c r="D45" s="2" t="s">
        <v>426</v>
      </c>
      <c r="E45" s="726">
        <f>SUM(E39,E42,E44)</f>
        <v>616642</v>
      </c>
    </row>
    <row r="46" spans="2:5" s="1" customFormat="1" ht="19.149999999999999" customHeight="1"/>
    <row r="47" spans="2:5" s="1" customFormat="1">
      <c r="B47" s="69" t="s">
        <v>830</v>
      </c>
      <c r="C47" s="129">
        <f>C40/$C$45</f>
        <v>0.99026988106551284</v>
      </c>
      <c r="D47" s="210" t="s">
        <v>264</v>
      </c>
      <c r="E47" s="129">
        <f>E40/$E$45</f>
        <v>0.97530495814427176</v>
      </c>
    </row>
    <row r="48" spans="2:5" s="1" customFormat="1">
      <c r="B48" s="147" t="s">
        <v>831</v>
      </c>
      <c r="C48" s="129">
        <f>C41/$C$45</f>
        <v>2.3514454091677181E-3</v>
      </c>
      <c r="D48" s="147"/>
      <c r="E48" s="129"/>
    </row>
    <row r="49" spans="2:5" s="1" customFormat="1">
      <c r="B49" s="69" t="s">
        <v>1018</v>
      </c>
      <c r="C49" s="129">
        <f>C42/$C$45</f>
        <v>7.3786735253193909E-3</v>
      </c>
      <c r="D49" s="147" t="s">
        <v>1019</v>
      </c>
      <c r="E49" s="129">
        <f>E42/$E$45</f>
        <v>8.1084324454059239E-5</v>
      </c>
    </row>
    <row r="50" spans="2:5" s="1" customFormat="1">
      <c r="B50" s="69"/>
      <c r="C50" s="129"/>
      <c r="D50" s="170" t="s">
        <v>361</v>
      </c>
      <c r="E50" s="129">
        <f>E44/$E$45</f>
        <v>2.4613957531274225E-2</v>
      </c>
    </row>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c r="B104" s="1"/>
      <c r="C104" s="1"/>
      <c r="D104" s="1"/>
      <c r="E104" s="1"/>
    </row>
    <row r="105" spans="2:5">
      <c r="B105" s="1"/>
      <c r="C105" s="1"/>
      <c r="D105" s="1"/>
      <c r="E105" s="1"/>
    </row>
    <row r="106" spans="2:5">
      <c r="B106" s="1"/>
      <c r="C106" s="1"/>
      <c r="D106" s="1"/>
      <c r="E106" s="1"/>
    </row>
    <row r="107" spans="2:5">
      <c r="B107" s="1"/>
      <c r="C107" s="1"/>
      <c r="D107" s="1"/>
      <c r="E107" s="1"/>
    </row>
    <row r="108" spans="2:5">
      <c r="B108" s="1"/>
      <c r="C108" s="1"/>
      <c r="D108" s="1"/>
      <c r="E108" s="1"/>
    </row>
  </sheetData>
  <mergeCells count="8">
    <mergeCell ref="B22:E22"/>
    <mergeCell ref="B8:E8"/>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scale="99" firstPageNumber="11" orientation="portrait" blackAndWhite="1"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49">
    <tabColor rgb="FFFFFFCC"/>
  </sheetPr>
  <dimension ref="A1:E35"/>
  <sheetViews>
    <sheetView zoomScaleNormal="100" workbookViewId="0">
      <selection activeCell="A33" sqref="A33"/>
    </sheetView>
  </sheetViews>
  <sheetFormatPr defaultColWidth="8.875" defaultRowHeight="16.5"/>
  <cols>
    <col min="1" max="1" width="18.75" style="486" customWidth="1"/>
    <col min="2" max="2" width="16.75" style="486" customWidth="1"/>
    <col min="3" max="3" width="17" style="486" customWidth="1"/>
    <col min="4" max="4" width="16.625" style="486" customWidth="1"/>
    <col min="5" max="5" width="20.25" style="486" customWidth="1"/>
    <col min="6" max="16384" width="8.875" style="486"/>
  </cols>
  <sheetData>
    <row r="1" spans="1:5" ht="25.5">
      <c r="A1" s="1039" t="s">
        <v>691</v>
      </c>
      <c r="B1" s="1039"/>
      <c r="C1" s="1039"/>
      <c r="D1" s="1039"/>
      <c r="E1" s="1039"/>
    </row>
    <row r="2" spans="1:5" ht="21">
      <c r="A2" s="1040" t="s">
        <v>692</v>
      </c>
      <c r="B2" s="1040"/>
      <c r="C2" s="1040"/>
      <c r="D2" s="1040"/>
      <c r="E2" s="1040"/>
    </row>
    <row r="3" spans="1:5" ht="21">
      <c r="A3" s="1041" t="s">
        <v>693</v>
      </c>
      <c r="B3" s="1041"/>
      <c r="C3" s="1041"/>
      <c r="D3" s="1041"/>
      <c r="E3" s="1041"/>
    </row>
    <row r="4" spans="1:5" ht="19.5">
      <c r="A4" s="1038" t="s">
        <v>1087</v>
      </c>
      <c r="B4" s="1038"/>
      <c r="C4" s="1038"/>
      <c r="D4" s="1038"/>
      <c r="E4" s="1038"/>
    </row>
    <row r="5" spans="1:5" ht="17.25" thickBot="1">
      <c r="A5" s="487"/>
      <c r="B5" s="487"/>
      <c r="C5" s="487"/>
      <c r="D5" s="482"/>
      <c r="E5" s="473" t="s">
        <v>694</v>
      </c>
    </row>
    <row r="6" spans="1:5" ht="41.25" customHeight="1">
      <c r="A6" s="927" t="s">
        <v>695</v>
      </c>
      <c r="B6" s="928" t="s">
        <v>696</v>
      </c>
      <c r="C6" s="928" t="s">
        <v>697</v>
      </c>
      <c r="D6" s="928" t="s">
        <v>698</v>
      </c>
      <c r="E6" s="929" t="s">
        <v>699</v>
      </c>
    </row>
    <row r="7" spans="1:5" ht="25.15" customHeight="1">
      <c r="A7" s="525"/>
      <c r="B7" s="930"/>
      <c r="C7" s="930"/>
      <c r="D7" s="930"/>
      <c r="E7" s="931"/>
    </row>
    <row r="8" spans="1:5" ht="25.15" customHeight="1">
      <c r="A8" s="525"/>
      <c r="B8" s="930"/>
      <c r="C8" s="930"/>
      <c r="D8" s="930"/>
      <c r="E8" s="931"/>
    </row>
    <row r="9" spans="1:5" ht="25.15" customHeight="1">
      <c r="A9" s="525"/>
      <c r="B9" s="930"/>
      <c r="C9" s="930"/>
      <c r="D9" s="930"/>
      <c r="E9" s="931"/>
    </row>
    <row r="10" spans="1:5" ht="25.15" customHeight="1">
      <c r="A10" s="525"/>
      <c r="B10" s="930"/>
      <c r="C10" s="930"/>
      <c r="D10" s="930"/>
      <c r="E10" s="931"/>
    </row>
    <row r="11" spans="1:5" ht="25.15" customHeight="1">
      <c r="A11" s="525"/>
      <c r="B11" s="930"/>
      <c r="C11" s="930"/>
      <c r="D11" s="930"/>
      <c r="E11" s="931"/>
    </row>
    <row r="12" spans="1:5" ht="25.15" customHeight="1">
      <c r="A12" s="525"/>
      <c r="B12" s="930"/>
      <c r="C12" s="930"/>
      <c r="D12" s="930"/>
      <c r="E12" s="931"/>
    </row>
    <row r="13" spans="1:5" ht="25.15" customHeight="1">
      <c r="A13" s="525"/>
      <c r="B13" s="930"/>
      <c r="C13" s="930"/>
      <c r="D13" s="930"/>
      <c r="E13" s="931"/>
    </row>
    <row r="14" spans="1:5" ht="25.15" customHeight="1">
      <c r="A14" s="525"/>
      <c r="B14" s="930"/>
      <c r="C14" s="930"/>
      <c r="D14" s="930"/>
      <c r="E14" s="931"/>
    </row>
    <row r="15" spans="1:5" ht="25.15" customHeight="1">
      <c r="A15" s="525"/>
      <c r="B15" s="930"/>
      <c r="C15" s="930"/>
      <c r="D15" s="930"/>
      <c r="E15" s="931"/>
    </row>
    <row r="16" spans="1:5" ht="25.15" customHeight="1">
      <c r="A16" s="525"/>
      <c r="B16" s="930"/>
      <c r="C16" s="930"/>
      <c r="D16" s="930"/>
      <c r="E16" s="931"/>
    </row>
    <row r="17" spans="1:5" ht="25.15" customHeight="1">
      <c r="A17" s="525"/>
      <c r="B17" s="930"/>
      <c r="C17" s="930"/>
      <c r="D17" s="930"/>
      <c r="E17" s="931"/>
    </row>
    <row r="18" spans="1:5" ht="25.15" customHeight="1">
      <c r="A18" s="525"/>
      <c r="B18" s="930"/>
      <c r="C18" s="930"/>
      <c r="D18" s="930"/>
      <c r="E18" s="931"/>
    </row>
    <row r="19" spans="1:5" ht="25.15" customHeight="1">
      <c r="A19" s="525"/>
      <c r="B19" s="930"/>
      <c r="C19" s="930"/>
      <c r="D19" s="930"/>
      <c r="E19" s="931"/>
    </row>
    <row r="20" spans="1:5" ht="25.15" customHeight="1">
      <c r="A20" s="525"/>
      <c r="B20" s="930"/>
      <c r="C20" s="930"/>
      <c r="D20" s="930"/>
      <c r="E20" s="931"/>
    </row>
    <row r="21" spans="1:5" ht="25.15" customHeight="1">
      <c r="A21" s="525"/>
      <c r="B21" s="930"/>
      <c r="C21" s="930"/>
      <c r="D21" s="930"/>
      <c r="E21" s="931"/>
    </row>
    <row r="22" spans="1:5" ht="28.15" customHeight="1">
      <c r="A22" s="525"/>
      <c r="B22" s="930"/>
      <c r="C22" s="930"/>
      <c r="D22" s="930"/>
      <c r="E22" s="931"/>
    </row>
    <row r="23" spans="1:5" ht="28.15" customHeight="1">
      <c r="A23" s="525"/>
      <c r="B23" s="930"/>
      <c r="C23" s="930"/>
      <c r="D23" s="930"/>
      <c r="E23" s="931"/>
    </row>
    <row r="24" spans="1:5" ht="25.15" customHeight="1">
      <c r="A24" s="525"/>
      <c r="B24" s="930"/>
      <c r="C24" s="930"/>
      <c r="D24" s="930"/>
      <c r="E24" s="931"/>
    </row>
    <row r="25" spans="1:5" ht="28.15" customHeight="1">
      <c r="A25" s="525"/>
      <c r="B25" s="930"/>
      <c r="C25" s="930"/>
      <c r="D25" s="930"/>
      <c r="E25" s="931"/>
    </row>
    <row r="26" spans="1:5" ht="13.9" customHeight="1">
      <c r="A26" s="525"/>
      <c r="B26" s="930"/>
      <c r="C26" s="930"/>
      <c r="D26" s="930"/>
      <c r="E26" s="931"/>
    </row>
    <row r="27" spans="1:5" ht="11.45" customHeight="1" thickBot="1">
      <c r="A27" s="932"/>
      <c r="B27" s="933"/>
      <c r="C27" s="933"/>
      <c r="D27" s="933"/>
      <c r="E27" s="934"/>
    </row>
    <row r="28" spans="1:5">
      <c r="A28" s="482" t="s">
        <v>777</v>
      </c>
    </row>
    <row r="29" spans="1:5">
      <c r="A29" s="454" t="s">
        <v>987</v>
      </c>
    </row>
    <row r="30" spans="1:5">
      <c r="A30" s="454" t="s">
        <v>1090</v>
      </c>
    </row>
    <row r="31" spans="1:5">
      <c r="A31" s="454" t="s">
        <v>1091</v>
      </c>
    </row>
    <row r="32" spans="1:5">
      <c r="A32" s="454" t="s">
        <v>1011</v>
      </c>
    </row>
    <row r="33" spans="1:1">
      <c r="A33" s="454" t="s">
        <v>1096</v>
      </c>
    </row>
    <row r="34" spans="1:1">
      <c r="A34" s="454" t="s">
        <v>1093</v>
      </c>
    </row>
    <row r="35" spans="1:1">
      <c r="A35" s="454" t="s">
        <v>1092</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scale="98" firstPageNumber="37" orientation="portrait" blackAndWhite="1" useFirstPageNumber="1" r:id="rId1"/>
  <headerFooter scaleWithDoc="0"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dimension ref="A1:E33"/>
  <sheetViews>
    <sheetView workbookViewId="0">
      <selection activeCell="D40" sqref="D40"/>
    </sheetView>
  </sheetViews>
  <sheetFormatPr defaultRowHeight="16.5"/>
  <cols>
    <col min="1" max="1" width="18.75" customWidth="1"/>
    <col min="2" max="2" width="16.75" customWidth="1"/>
    <col min="3" max="3" width="17" customWidth="1"/>
    <col min="4" max="4" width="16.625" customWidth="1"/>
    <col min="5" max="5" width="18.625" customWidth="1"/>
  </cols>
  <sheetData>
    <row r="1" spans="1:5" ht="25.5">
      <c r="A1" s="979" t="s">
        <v>731</v>
      </c>
      <c r="B1" s="979"/>
      <c r="C1" s="979"/>
      <c r="D1" s="979"/>
      <c r="E1" s="979"/>
    </row>
    <row r="2" spans="1:5" ht="21">
      <c r="A2" s="980" t="s">
        <v>732</v>
      </c>
      <c r="B2" s="980"/>
      <c r="C2" s="980"/>
      <c r="D2" s="980"/>
      <c r="E2" s="980"/>
    </row>
    <row r="3" spans="1:5" ht="21">
      <c r="A3" s="981" t="s">
        <v>733</v>
      </c>
      <c r="B3" s="981"/>
      <c r="C3" s="981"/>
      <c r="D3" s="981"/>
      <c r="E3" s="981"/>
    </row>
    <row r="4" spans="1:5" ht="19.5">
      <c r="A4" s="982" t="s">
        <v>816</v>
      </c>
      <c r="B4" s="982"/>
      <c r="C4" s="982"/>
      <c r="D4" s="982"/>
      <c r="E4" s="982"/>
    </row>
    <row r="5" spans="1:5" ht="17.25" thickBot="1">
      <c r="A5" s="3"/>
      <c r="B5" s="3"/>
      <c r="C5" s="3"/>
      <c r="D5" s="1"/>
      <c r="E5" s="11" t="s">
        <v>734</v>
      </c>
    </row>
    <row r="6" spans="1:5" ht="41.25" customHeight="1">
      <c r="A6" s="446" t="s">
        <v>735</v>
      </c>
      <c r="B6" s="447" t="s">
        <v>736</v>
      </c>
      <c r="C6" s="447" t="s">
        <v>737</v>
      </c>
      <c r="D6" s="447" t="s">
        <v>738</v>
      </c>
      <c r="E6" s="448" t="s">
        <v>739</v>
      </c>
    </row>
    <row r="7" spans="1:5" ht="25.15" customHeight="1">
      <c r="A7" s="285"/>
      <c r="B7" s="449"/>
      <c r="C7" s="449"/>
      <c r="D7" s="449"/>
      <c r="E7" s="450"/>
    </row>
    <row r="8" spans="1:5" ht="25.15" customHeight="1">
      <c r="A8" s="285"/>
      <c r="B8" s="449"/>
      <c r="C8" s="449"/>
      <c r="D8" s="449"/>
      <c r="E8" s="450"/>
    </row>
    <row r="9" spans="1:5" ht="25.15" customHeight="1">
      <c r="A9" s="285"/>
      <c r="B9" s="449"/>
      <c r="C9" s="449"/>
      <c r="D9" s="449"/>
      <c r="E9" s="450"/>
    </row>
    <row r="10" spans="1:5" ht="25.15" customHeight="1">
      <c r="A10" s="285"/>
      <c r="B10" s="449"/>
      <c r="C10" s="449"/>
      <c r="D10" s="449"/>
      <c r="E10" s="450"/>
    </row>
    <row r="11" spans="1:5" ht="25.15" customHeight="1">
      <c r="A11" s="285"/>
      <c r="B11" s="449"/>
      <c r="C11" s="449"/>
      <c r="D11" s="449"/>
      <c r="E11" s="450"/>
    </row>
    <row r="12" spans="1:5" ht="25.15" customHeight="1">
      <c r="A12" s="285"/>
      <c r="B12" s="449"/>
      <c r="C12" s="449"/>
      <c r="D12" s="449"/>
      <c r="E12" s="450"/>
    </row>
    <row r="13" spans="1:5" ht="25.15" customHeight="1">
      <c r="A13" s="285"/>
      <c r="B13" s="449"/>
      <c r="C13" s="449"/>
      <c r="D13" s="449"/>
      <c r="E13" s="450"/>
    </row>
    <row r="14" spans="1:5" ht="25.15" customHeight="1">
      <c r="A14" s="285"/>
      <c r="B14" s="449"/>
      <c r="C14" s="449"/>
      <c r="D14" s="449"/>
      <c r="E14" s="450"/>
    </row>
    <row r="15" spans="1:5" ht="25.15" customHeight="1">
      <c r="A15" s="285"/>
      <c r="B15" s="449"/>
      <c r="C15" s="449"/>
      <c r="D15" s="449"/>
      <c r="E15" s="450"/>
    </row>
    <row r="16" spans="1:5" ht="25.15" customHeight="1">
      <c r="A16" s="285"/>
      <c r="B16" s="449"/>
      <c r="C16" s="449"/>
      <c r="D16" s="449"/>
      <c r="E16" s="450"/>
    </row>
    <row r="17" spans="1:5" ht="25.15" customHeight="1">
      <c r="A17" s="285"/>
      <c r="B17" s="449"/>
      <c r="C17" s="449"/>
      <c r="D17" s="449"/>
      <c r="E17" s="450"/>
    </row>
    <row r="18" spans="1:5" ht="25.15" customHeight="1">
      <c r="A18" s="285"/>
      <c r="B18" s="449"/>
      <c r="C18" s="449"/>
      <c r="D18" s="449"/>
      <c r="E18" s="450"/>
    </row>
    <row r="19" spans="1:5" ht="25.15" customHeight="1">
      <c r="A19" s="285"/>
      <c r="B19" s="449"/>
      <c r="C19" s="449"/>
      <c r="D19" s="449"/>
      <c r="E19" s="450"/>
    </row>
    <row r="20" spans="1:5" ht="25.15" customHeight="1">
      <c r="A20" s="285"/>
      <c r="B20" s="449"/>
      <c r="C20" s="449"/>
      <c r="D20" s="449"/>
      <c r="E20" s="450"/>
    </row>
    <row r="21" spans="1:5" ht="25.15" customHeight="1">
      <c r="A21" s="285"/>
      <c r="B21" s="449"/>
      <c r="C21" s="449"/>
      <c r="D21" s="449"/>
      <c r="E21" s="450"/>
    </row>
    <row r="22" spans="1:5" ht="28.15" customHeight="1">
      <c r="A22" s="285"/>
      <c r="B22" s="449"/>
      <c r="C22" s="449"/>
      <c r="D22" s="449"/>
      <c r="E22" s="450"/>
    </row>
    <row r="23" spans="1:5" ht="28.15" customHeight="1">
      <c r="A23" s="285"/>
      <c r="B23" s="449"/>
      <c r="C23" s="449"/>
      <c r="D23" s="449"/>
      <c r="E23" s="450"/>
    </row>
    <row r="24" spans="1:5" ht="25.15" customHeight="1">
      <c r="A24" s="285"/>
      <c r="B24" s="449"/>
      <c r="C24" s="449"/>
      <c r="D24" s="449"/>
      <c r="E24" s="450"/>
    </row>
    <row r="25" spans="1:5" ht="28.15" customHeight="1">
      <c r="A25" s="285"/>
      <c r="B25" s="449"/>
      <c r="C25" s="449"/>
      <c r="D25" s="449"/>
      <c r="E25" s="450"/>
    </row>
    <row r="26" spans="1:5" ht="28.15" customHeight="1">
      <c r="A26" s="285"/>
      <c r="B26" s="449"/>
      <c r="C26" s="449"/>
      <c r="D26" s="449"/>
      <c r="E26" s="450"/>
    </row>
    <row r="27" spans="1:5" ht="25.15" customHeight="1" thickBot="1">
      <c r="A27" s="451"/>
      <c r="B27" s="452"/>
      <c r="C27" s="452"/>
      <c r="D27" s="452"/>
      <c r="E27" s="453"/>
    </row>
    <row r="28" spans="1:5">
      <c r="A28" s="1" t="s">
        <v>740</v>
      </c>
    </row>
    <row r="29" spans="1:5">
      <c r="A29" s="454" t="s">
        <v>741</v>
      </c>
    </row>
    <row r="30" spans="1:5">
      <c r="A30" s="454" t="s">
        <v>773</v>
      </c>
    </row>
    <row r="31" spans="1:5">
      <c r="A31" s="454" t="s">
        <v>815</v>
      </c>
    </row>
    <row r="32" spans="1:5">
      <c r="A32" s="454" t="s">
        <v>780</v>
      </c>
    </row>
    <row r="33" spans="1:1">
      <c r="A33" s="454" t="s">
        <v>851</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7" orientation="portrait" useFirstPageNumber="1" r:id="rId1"/>
  <headerFooter alignWithMargins="0">
    <oddFooter>&amp;C&amp;"Arial Unicode MS,標準"&amp;P</oddFooter>
  </headerFooter>
</worksheet>
</file>

<file path=xl/worksheets/sheet42.xml><?xml version="1.0" encoding="utf-8"?>
<worksheet xmlns="http://schemas.openxmlformats.org/spreadsheetml/2006/main" xmlns:r="http://schemas.openxmlformats.org/officeDocument/2006/relationships">
  <sheetPr codeName="Sheet51">
    <tabColor rgb="FFFFFFCC"/>
  </sheetPr>
  <dimension ref="A1:T33"/>
  <sheetViews>
    <sheetView zoomScaleNormal="100" workbookViewId="0">
      <selection activeCell="R34" sqref="R34"/>
    </sheetView>
  </sheetViews>
  <sheetFormatPr defaultRowHeight="16.5"/>
  <cols>
    <col min="1" max="1" width="16.5" customWidth="1"/>
    <col min="2" max="4" width="8.125" customWidth="1"/>
    <col min="5" max="5" width="6.875" customWidth="1"/>
    <col min="6" max="6" width="8.125" customWidth="1"/>
    <col min="7" max="7" width="7.625" customWidth="1"/>
    <col min="8" max="10" width="8.125" customWidth="1"/>
    <col min="11" max="15" width="8.625" customWidth="1"/>
    <col min="16" max="16" width="7.75" customWidth="1"/>
    <col min="17" max="17" width="7.625" customWidth="1"/>
    <col min="18" max="18" width="8.625" customWidth="1"/>
    <col min="19" max="20" width="10.625" customWidth="1"/>
  </cols>
  <sheetData>
    <row r="1" spans="1:20" ht="25.5">
      <c r="A1" s="1277" t="s">
        <v>700</v>
      </c>
      <c r="B1" s="1277"/>
      <c r="C1" s="1277"/>
      <c r="D1" s="1277"/>
      <c r="E1" s="1277"/>
      <c r="F1" s="1277"/>
      <c r="G1" s="1277"/>
      <c r="H1" s="1277"/>
      <c r="I1" s="1277"/>
      <c r="J1" s="1277"/>
      <c r="K1" s="1272" t="s">
        <v>701</v>
      </c>
      <c r="L1" s="1272"/>
      <c r="M1" s="1272"/>
      <c r="N1" s="1272"/>
      <c r="O1" s="1272"/>
      <c r="P1" s="1272"/>
      <c r="Q1" s="1272"/>
      <c r="R1" s="1272"/>
      <c r="S1" s="1272"/>
      <c r="T1" s="1272"/>
    </row>
    <row r="2" spans="1:20" ht="21">
      <c r="A2" s="1273" t="s">
        <v>702</v>
      </c>
      <c r="B2" s="1273"/>
      <c r="C2" s="1273"/>
      <c r="D2" s="1273"/>
      <c r="E2" s="1273"/>
      <c r="F2" s="1273"/>
      <c r="G2" s="1273"/>
      <c r="H2" s="1273"/>
      <c r="I2" s="1273"/>
      <c r="J2" s="1273"/>
      <c r="K2" s="1274" t="s">
        <v>703</v>
      </c>
      <c r="L2" s="1274"/>
      <c r="M2" s="1274"/>
      <c r="N2" s="1274"/>
      <c r="O2" s="1274"/>
      <c r="P2" s="1274"/>
      <c r="Q2" s="1274"/>
      <c r="R2" s="1274"/>
      <c r="S2" s="1274"/>
      <c r="T2" s="1274"/>
    </row>
    <row r="3" spans="1:20" ht="21">
      <c r="A3" s="1275" t="s">
        <v>704</v>
      </c>
      <c r="B3" s="1275"/>
      <c r="C3" s="1275"/>
      <c r="D3" s="1275"/>
      <c r="E3" s="1275"/>
      <c r="F3" s="1275"/>
      <c r="G3" s="1275"/>
      <c r="H3" s="1275"/>
      <c r="I3" s="1275"/>
      <c r="J3" s="1275"/>
      <c r="K3" s="1276" t="s">
        <v>705</v>
      </c>
      <c r="L3" s="1276"/>
      <c r="M3" s="1276"/>
      <c r="N3" s="1276"/>
      <c r="O3" s="1276"/>
      <c r="P3" s="1276"/>
      <c r="Q3" s="1276"/>
      <c r="R3" s="1276"/>
      <c r="S3" s="1276"/>
      <c r="T3" s="1276"/>
    </row>
    <row r="4" spans="1:20" ht="19.5">
      <c r="A4" s="1271" t="s">
        <v>706</v>
      </c>
      <c r="B4" s="1271"/>
      <c r="C4" s="1271"/>
      <c r="D4" s="1271"/>
      <c r="E4" s="1271"/>
      <c r="F4" s="1271"/>
      <c r="G4" s="1271"/>
      <c r="H4" s="1271"/>
      <c r="I4" s="1271"/>
      <c r="J4" s="1271"/>
      <c r="K4" s="1278" t="s">
        <v>1094</v>
      </c>
      <c r="L4" s="1278"/>
      <c r="M4" s="1278"/>
      <c r="N4" s="1278"/>
      <c r="O4" s="1278"/>
      <c r="P4" s="1278"/>
      <c r="Q4" s="1278"/>
      <c r="R4" s="1278"/>
      <c r="S4" s="1278"/>
      <c r="T4" s="1278"/>
    </row>
    <row r="5" spans="1:20" ht="17.25" thickBot="1">
      <c r="A5" s="3"/>
      <c r="B5" s="3"/>
      <c r="C5" s="3"/>
      <c r="D5" s="3"/>
      <c r="E5" s="3"/>
      <c r="F5" s="3"/>
      <c r="G5" s="3"/>
      <c r="H5" s="3"/>
      <c r="I5" s="3"/>
      <c r="J5" s="3"/>
      <c r="K5" s="3"/>
      <c r="L5" s="3"/>
      <c r="M5" s="3"/>
      <c r="N5" s="3"/>
      <c r="O5" s="3"/>
      <c r="P5" s="3"/>
      <c r="Q5" s="3"/>
      <c r="R5" s="3"/>
      <c r="S5" s="1"/>
      <c r="T5" s="11" t="s">
        <v>707</v>
      </c>
    </row>
    <row r="6" spans="1:20" ht="20.65" customHeight="1">
      <c r="A6" s="1279" t="s">
        <v>708</v>
      </c>
      <c r="B6" s="1178" t="s">
        <v>709</v>
      </c>
      <c r="C6" s="1178" t="s">
        <v>710</v>
      </c>
      <c r="D6" s="1178" t="s">
        <v>711</v>
      </c>
      <c r="E6" s="1178" t="s">
        <v>712</v>
      </c>
      <c r="F6" s="1178" t="s">
        <v>713</v>
      </c>
      <c r="G6" s="1178"/>
      <c r="H6" s="1178"/>
      <c r="I6" s="1178"/>
      <c r="J6" s="1281" t="s">
        <v>714</v>
      </c>
      <c r="K6" s="1282"/>
      <c r="L6" s="1283" t="s">
        <v>715</v>
      </c>
      <c r="M6" s="1281" t="s">
        <v>716</v>
      </c>
      <c r="N6" s="1287"/>
      <c r="O6" s="1287"/>
      <c r="P6" s="1282"/>
      <c r="Q6" s="1283" t="s">
        <v>717</v>
      </c>
      <c r="R6" s="1283" t="s">
        <v>718</v>
      </c>
      <c r="S6" s="1283" t="s">
        <v>719</v>
      </c>
      <c r="T6" s="1285" t="s">
        <v>720</v>
      </c>
    </row>
    <row r="7" spans="1:20" ht="41.25" customHeight="1">
      <c r="A7" s="1280"/>
      <c r="B7" s="1181"/>
      <c r="C7" s="1181"/>
      <c r="D7" s="1181"/>
      <c r="E7" s="1181"/>
      <c r="F7" s="455" t="s">
        <v>721</v>
      </c>
      <c r="G7" s="455" t="s">
        <v>722</v>
      </c>
      <c r="H7" s="455" t="s">
        <v>723</v>
      </c>
      <c r="I7" s="455" t="s">
        <v>724</v>
      </c>
      <c r="J7" s="455" t="s">
        <v>725</v>
      </c>
      <c r="K7" s="455" t="s">
        <v>726</v>
      </c>
      <c r="L7" s="1284"/>
      <c r="M7" s="455" t="s">
        <v>727</v>
      </c>
      <c r="N7" s="455" t="s">
        <v>728</v>
      </c>
      <c r="O7" s="455" t="s">
        <v>729</v>
      </c>
      <c r="P7" s="455" t="s">
        <v>724</v>
      </c>
      <c r="Q7" s="1284"/>
      <c r="R7" s="1284"/>
      <c r="S7" s="1284"/>
      <c r="T7" s="1286"/>
    </row>
    <row r="8" spans="1:20" ht="25.15" customHeight="1">
      <c r="A8" s="285"/>
      <c r="B8" s="449"/>
      <c r="C8" s="449"/>
      <c r="D8" s="449"/>
      <c r="E8" s="449"/>
      <c r="F8" s="449"/>
      <c r="G8" s="449"/>
      <c r="H8" s="449"/>
      <c r="I8" s="449"/>
      <c r="J8" s="449"/>
      <c r="K8" s="449"/>
      <c r="L8" s="449"/>
      <c r="M8" s="449"/>
      <c r="N8" s="449"/>
      <c r="O8" s="449"/>
      <c r="P8" s="449"/>
      <c r="Q8" s="449"/>
      <c r="R8" s="449"/>
      <c r="S8" s="449"/>
      <c r="T8" s="450"/>
    </row>
    <row r="9" spans="1:20" ht="25.15" customHeight="1">
      <c r="A9" s="285"/>
      <c r="B9" s="449"/>
      <c r="C9" s="449"/>
      <c r="D9" s="449"/>
      <c r="E9" s="449"/>
      <c r="F9" s="449"/>
      <c r="G9" s="449"/>
      <c r="H9" s="449"/>
      <c r="I9" s="449"/>
      <c r="J9" s="449"/>
      <c r="K9" s="449"/>
      <c r="L9" s="449"/>
      <c r="M9" s="449"/>
      <c r="N9" s="449"/>
      <c r="O9" s="449"/>
      <c r="P9" s="449"/>
      <c r="Q9" s="449"/>
      <c r="R9" s="449"/>
      <c r="S9" s="449"/>
      <c r="T9" s="450"/>
    </row>
    <row r="10" spans="1:20" ht="25.15" customHeight="1">
      <c r="A10" s="285"/>
      <c r="B10" s="449"/>
      <c r="C10" s="449"/>
      <c r="D10" s="449"/>
      <c r="E10" s="449"/>
      <c r="F10" s="449"/>
      <c r="G10" s="449"/>
      <c r="H10" s="449"/>
      <c r="I10" s="449"/>
      <c r="J10" s="449"/>
      <c r="K10" s="449"/>
      <c r="L10" s="449"/>
      <c r="M10" s="449"/>
      <c r="N10" s="449"/>
      <c r="O10" s="449"/>
      <c r="P10" s="449"/>
      <c r="Q10" s="449"/>
      <c r="R10" s="449"/>
      <c r="S10" s="449"/>
      <c r="T10" s="450"/>
    </row>
    <row r="11" spans="1:20" ht="25.15" customHeight="1">
      <c r="A11" s="285"/>
      <c r="B11" s="449"/>
      <c r="C11" s="449"/>
      <c r="D11" s="449"/>
      <c r="E11" s="449"/>
      <c r="F11" s="449"/>
      <c r="G11" s="449"/>
      <c r="H11" s="449"/>
      <c r="I11" s="449"/>
      <c r="J11" s="449"/>
      <c r="K11" s="449"/>
      <c r="L11" s="449"/>
      <c r="M11" s="449"/>
      <c r="N11" s="449"/>
      <c r="O11" s="449"/>
      <c r="P11" s="449"/>
      <c r="Q11" s="449"/>
      <c r="R11" s="449"/>
      <c r="S11" s="449"/>
      <c r="T11" s="450"/>
    </row>
    <row r="12" spans="1:20" ht="25.15" customHeight="1">
      <c r="A12" s="285"/>
      <c r="B12" s="449"/>
      <c r="C12" s="449"/>
      <c r="D12" s="449"/>
      <c r="E12" s="449"/>
      <c r="F12" s="449"/>
      <c r="G12" s="449"/>
      <c r="H12" s="449"/>
      <c r="I12" s="449"/>
      <c r="J12" s="449"/>
      <c r="K12" s="449"/>
      <c r="L12" s="449"/>
      <c r="M12" s="449"/>
      <c r="N12" s="449"/>
      <c r="O12" s="449"/>
      <c r="P12" s="449"/>
      <c r="Q12" s="449"/>
      <c r="R12" s="449"/>
      <c r="S12" s="449"/>
      <c r="T12" s="450"/>
    </row>
    <row r="13" spans="1:20" ht="25.15" customHeight="1">
      <c r="A13" s="285"/>
      <c r="B13" s="449"/>
      <c r="C13" s="449"/>
      <c r="D13" s="449"/>
      <c r="E13" s="449"/>
      <c r="F13" s="449"/>
      <c r="G13" s="449"/>
      <c r="H13" s="449"/>
      <c r="I13" s="449"/>
      <c r="J13" s="449"/>
      <c r="K13" s="449"/>
      <c r="L13" s="449"/>
      <c r="M13" s="449"/>
      <c r="N13" s="449"/>
      <c r="O13" s="449"/>
      <c r="P13" s="449"/>
      <c r="Q13" s="449"/>
      <c r="R13" s="449"/>
      <c r="S13" s="449"/>
      <c r="T13" s="450"/>
    </row>
    <row r="14" spans="1:20" ht="25.15" customHeight="1">
      <c r="A14" s="285"/>
      <c r="B14" s="449"/>
      <c r="C14" s="449"/>
      <c r="D14" s="449"/>
      <c r="E14" s="449"/>
      <c r="F14" s="449"/>
      <c r="G14" s="449"/>
      <c r="H14" s="449"/>
      <c r="I14" s="449"/>
      <c r="J14" s="449"/>
      <c r="K14" s="449"/>
      <c r="L14" s="449"/>
      <c r="M14" s="449"/>
      <c r="N14" s="449"/>
      <c r="O14" s="449"/>
      <c r="P14" s="449"/>
      <c r="Q14" s="449"/>
      <c r="R14" s="449"/>
      <c r="S14" s="449"/>
      <c r="T14" s="450"/>
    </row>
    <row r="15" spans="1:20" ht="25.15" customHeight="1">
      <c r="A15" s="285"/>
      <c r="B15" s="449"/>
      <c r="C15" s="449"/>
      <c r="D15" s="449"/>
      <c r="E15" s="449"/>
      <c r="F15" s="449"/>
      <c r="G15" s="449"/>
      <c r="H15" s="449"/>
      <c r="I15" s="449"/>
      <c r="J15" s="449"/>
      <c r="K15" s="449"/>
      <c r="L15" s="449"/>
      <c r="M15" s="449"/>
      <c r="N15" s="449"/>
      <c r="O15" s="449"/>
      <c r="P15" s="449"/>
      <c r="Q15" s="449"/>
      <c r="R15" s="449"/>
      <c r="S15" s="449"/>
      <c r="T15" s="450"/>
    </row>
    <row r="16" spans="1:20" ht="25.15" customHeight="1">
      <c r="A16" s="285"/>
      <c r="B16" s="449"/>
      <c r="C16" s="449"/>
      <c r="D16" s="449"/>
      <c r="E16" s="449"/>
      <c r="F16" s="449"/>
      <c r="G16" s="449"/>
      <c r="H16" s="449"/>
      <c r="I16" s="449"/>
      <c r="J16" s="449"/>
      <c r="K16" s="449"/>
      <c r="L16" s="449"/>
      <c r="M16" s="449"/>
      <c r="N16" s="449"/>
      <c r="O16" s="449"/>
      <c r="P16" s="449"/>
      <c r="Q16" s="449"/>
      <c r="R16" s="449"/>
      <c r="S16" s="449"/>
      <c r="T16" s="450"/>
    </row>
    <row r="17" spans="1:20" ht="25.15" customHeight="1">
      <c r="A17" s="285"/>
      <c r="B17" s="449"/>
      <c r="C17" s="449"/>
      <c r="D17" s="449"/>
      <c r="E17" s="449"/>
      <c r="F17" s="449"/>
      <c r="G17" s="449"/>
      <c r="H17" s="449"/>
      <c r="I17" s="449"/>
      <c r="J17" s="449"/>
      <c r="K17" s="449"/>
      <c r="L17" s="449"/>
      <c r="M17" s="449"/>
      <c r="N17" s="449"/>
      <c r="O17" s="449"/>
      <c r="P17" s="449"/>
      <c r="Q17" s="449"/>
      <c r="R17" s="449"/>
      <c r="S17" s="449"/>
      <c r="T17" s="450"/>
    </row>
    <row r="18" spans="1:20" ht="25.15" customHeight="1">
      <c r="A18" s="285"/>
      <c r="B18" s="449"/>
      <c r="C18" s="449"/>
      <c r="D18" s="449"/>
      <c r="E18" s="449"/>
      <c r="F18" s="449"/>
      <c r="G18" s="449"/>
      <c r="H18" s="449"/>
      <c r="I18" s="449"/>
      <c r="J18" s="449"/>
      <c r="K18" s="449"/>
      <c r="L18" s="449"/>
      <c r="M18" s="449"/>
      <c r="N18" s="449"/>
      <c r="O18" s="449"/>
      <c r="P18" s="449"/>
      <c r="Q18" s="449"/>
      <c r="R18" s="449"/>
      <c r="S18" s="449"/>
      <c r="T18" s="450"/>
    </row>
    <row r="19" spans="1:20" ht="25.15" customHeight="1">
      <c r="A19" s="285"/>
      <c r="B19" s="449"/>
      <c r="C19" s="449"/>
      <c r="D19" s="449"/>
      <c r="E19" s="449"/>
      <c r="F19" s="449"/>
      <c r="G19" s="449"/>
      <c r="H19" s="449"/>
      <c r="I19" s="449"/>
      <c r="J19" s="449"/>
      <c r="K19" s="449"/>
      <c r="L19" s="449"/>
      <c r="M19" s="449"/>
      <c r="N19" s="449"/>
      <c r="O19" s="449"/>
      <c r="P19" s="449"/>
      <c r="Q19" s="449"/>
      <c r="R19" s="449"/>
      <c r="S19" s="449"/>
      <c r="T19" s="450"/>
    </row>
    <row r="20" spans="1:20" ht="25.15" customHeight="1">
      <c r="A20" s="285"/>
      <c r="B20" s="449"/>
      <c r="C20" s="449"/>
      <c r="D20" s="449"/>
      <c r="E20" s="449"/>
      <c r="F20" s="449"/>
      <c r="G20" s="449"/>
      <c r="H20" s="449"/>
      <c r="I20" s="449"/>
      <c r="J20" s="449"/>
      <c r="K20" s="449"/>
      <c r="L20" s="449"/>
      <c r="M20" s="449"/>
      <c r="N20" s="449"/>
      <c r="O20" s="449"/>
      <c r="P20" s="449"/>
      <c r="Q20" s="449"/>
      <c r="R20" s="449"/>
      <c r="S20" s="449"/>
      <c r="T20" s="450"/>
    </row>
    <row r="21" spans="1:20" ht="25.15" customHeight="1">
      <c r="A21" s="285"/>
      <c r="B21" s="449"/>
      <c r="C21" s="449"/>
      <c r="D21" s="449"/>
      <c r="E21" s="449"/>
      <c r="F21" s="449"/>
      <c r="G21" s="449"/>
      <c r="H21" s="449"/>
      <c r="I21" s="449"/>
      <c r="J21" s="449"/>
      <c r="K21" s="449"/>
      <c r="L21" s="449"/>
      <c r="M21" s="449"/>
      <c r="N21" s="449"/>
      <c r="O21" s="449"/>
      <c r="P21" s="449"/>
      <c r="Q21" s="449"/>
      <c r="R21" s="449"/>
      <c r="S21" s="449"/>
      <c r="T21" s="450"/>
    </row>
    <row r="22" spans="1:20" ht="25.15" customHeight="1">
      <c r="A22" s="285"/>
      <c r="B22" s="449"/>
      <c r="C22" s="449"/>
      <c r="D22" s="449"/>
      <c r="E22" s="449"/>
      <c r="F22" s="449"/>
      <c r="G22" s="449"/>
      <c r="H22" s="449"/>
      <c r="I22" s="449"/>
      <c r="J22" s="449"/>
      <c r="K22" s="449"/>
      <c r="L22" s="449"/>
      <c r="M22" s="449"/>
      <c r="N22" s="449"/>
      <c r="O22" s="449"/>
      <c r="P22" s="449"/>
      <c r="Q22" s="449"/>
      <c r="R22" s="449"/>
      <c r="S22" s="449"/>
      <c r="T22" s="450"/>
    </row>
    <row r="23" spans="1:20" ht="25.15" customHeight="1">
      <c r="A23" s="285"/>
      <c r="B23" s="449"/>
      <c r="C23" s="449"/>
      <c r="D23" s="449"/>
      <c r="E23" s="449"/>
      <c r="F23" s="449"/>
      <c r="G23" s="449"/>
      <c r="H23" s="449"/>
      <c r="I23" s="449"/>
      <c r="J23" s="449"/>
      <c r="K23" s="449"/>
      <c r="L23" s="449"/>
      <c r="M23" s="449"/>
      <c r="N23" s="449"/>
      <c r="O23" s="449"/>
      <c r="P23" s="449"/>
      <c r="Q23" s="449"/>
      <c r="R23" s="449"/>
      <c r="S23" s="449"/>
      <c r="T23" s="450"/>
    </row>
    <row r="24" spans="1:20" ht="25.15" customHeight="1">
      <c r="A24" s="285"/>
      <c r="B24" s="449"/>
      <c r="C24" s="449"/>
      <c r="D24" s="449"/>
      <c r="E24" s="449"/>
      <c r="F24" s="449"/>
      <c r="G24" s="449"/>
      <c r="H24" s="449"/>
      <c r="I24" s="449"/>
      <c r="J24" s="449"/>
      <c r="K24" s="449"/>
      <c r="L24" s="449"/>
      <c r="M24" s="449"/>
      <c r="N24" s="449"/>
      <c r="O24" s="449"/>
      <c r="P24" s="449"/>
      <c r="Q24" s="449"/>
      <c r="R24" s="449"/>
      <c r="S24" s="449"/>
      <c r="T24" s="450"/>
    </row>
    <row r="25" spans="1:20" ht="25.15" customHeight="1">
      <c r="A25" s="456"/>
      <c r="B25" s="449"/>
      <c r="C25" s="449"/>
      <c r="D25" s="449"/>
      <c r="E25" s="449"/>
      <c r="F25" s="449"/>
      <c r="G25" s="449"/>
      <c r="H25" s="449"/>
      <c r="I25" s="449"/>
      <c r="J25" s="449"/>
      <c r="K25" s="449"/>
      <c r="L25" s="449"/>
      <c r="M25" s="449"/>
      <c r="N25" s="449"/>
      <c r="O25" s="449"/>
      <c r="P25" s="449"/>
      <c r="Q25" s="449"/>
      <c r="R25" s="449"/>
      <c r="S25" s="449"/>
      <c r="T25" s="450"/>
    </row>
    <row r="26" spans="1:20" ht="25.15" customHeight="1">
      <c r="A26" s="285"/>
      <c r="B26" s="449"/>
      <c r="C26" s="449"/>
      <c r="D26" s="449"/>
      <c r="E26" s="449"/>
      <c r="F26" s="449"/>
      <c r="G26" s="449"/>
      <c r="H26" s="449"/>
      <c r="I26" s="449"/>
      <c r="J26" s="449"/>
      <c r="K26" s="449"/>
      <c r="L26" s="449"/>
      <c r="M26" s="449"/>
      <c r="N26" s="449"/>
      <c r="O26" s="449"/>
      <c r="P26" s="449"/>
      <c r="Q26" s="449"/>
      <c r="R26" s="449"/>
      <c r="S26" s="449"/>
      <c r="T26" s="450"/>
    </row>
    <row r="27" spans="1:20" ht="17.45" customHeight="1">
      <c r="A27" s="285"/>
      <c r="B27" s="449"/>
      <c r="C27" s="449"/>
      <c r="D27" s="449"/>
      <c r="E27" s="449"/>
      <c r="F27" s="449"/>
      <c r="G27" s="449"/>
      <c r="H27" s="449"/>
      <c r="I27" s="449"/>
      <c r="J27" s="449"/>
      <c r="K27" s="449"/>
      <c r="L27" s="449"/>
      <c r="M27" s="449"/>
      <c r="N27" s="449"/>
      <c r="O27" s="449"/>
      <c r="P27" s="449"/>
      <c r="Q27" s="449"/>
      <c r="R27" s="449"/>
      <c r="S27" s="449"/>
      <c r="T27" s="450"/>
    </row>
    <row r="28" spans="1:20" ht="25.15" customHeight="1" thickBot="1">
      <c r="A28" s="451"/>
      <c r="B28" s="452"/>
      <c r="C28" s="452"/>
      <c r="D28" s="452"/>
      <c r="E28" s="452"/>
      <c r="F28" s="452"/>
      <c r="G28" s="452"/>
      <c r="H28" s="452"/>
      <c r="I28" s="452"/>
      <c r="J28" s="452"/>
      <c r="K28" s="452"/>
      <c r="L28" s="452"/>
      <c r="M28" s="452"/>
      <c r="N28" s="452"/>
      <c r="O28" s="452"/>
      <c r="P28" s="452"/>
      <c r="Q28" s="452"/>
      <c r="R28" s="452"/>
      <c r="S28" s="452"/>
      <c r="T28" s="453"/>
    </row>
    <row r="29" spans="1:20">
      <c r="A29" s="1" t="s">
        <v>777</v>
      </c>
    </row>
    <row r="30" spans="1:20">
      <c r="A30" s="482" t="s">
        <v>1095</v>
      </c>
      <c r="B30" s="486"/>
      <c r="C30" s="486"/>
      <c r="D30" s="486"/>
      <c r="E30" s="486"/>
      <c r="F30" s="486"/>
      <c r="G30" s="486"/>
      <c r="H30" s="486"/>
      <c r="I30" s="486"/>
      <c r="J30" s="486"/>
    </row>
    <row r="31" spans="1:20">
      <c r="A31" s="482" t="s">
        <v>1130</v>
      </c>
      <c r="B31" s="486"/>
      <c r="C31" s="486"/>
      <c r="D31" s="486"/>
      <c r="E31" s="486"/>
      <c r="F31" s="486"/>
      <c r="G31" s="486"/>
      <c r="H31" s="486"/>
      <c r="I31" s="486"/>
      <c r="J31" s="486"/>
    </row>
    <row r="32" spans="1:20">
      <c r="A32" s="482" t="s">
        <v>1097</v>
      </c>
      <c r="B32" s="486"/>
      <c r="C32" s="486"/>
      <c r="D32" s="486"/>
      <c r="E32" s="486"/>
      <c r="F32" s="486"/>
      <c r="G32" s="486"/>
      <c r="H32" s="486"/>
      <c r="I32" s="486"/>
      <c r="J32" s="486"/>
    </row>
    <row r="33" spans="1:10">
      <c r="A33" s="482" t="s">
        <v>1098</v>
      </c>
      <c r="B33" s="486"/>
      <c r="C33" s="486"/>
      <c r="D33" s="486"/>
      <c r="E33" s="486"/>
      <c r="F33" s="486"/>
      <c r="G33" s="486"/>
      <c r="H33" s="486"/>
      <c r="I33" s="486"/>
      <c r="J33" s="486"/>
    </row>
  </sheetData>
  <mergeCells count="21">
    <mergeCell ref="F6:I6"/>
    <mergeCell ref="J6:K6"/>
    <mergeCell ref="L6:L7"/>
    <mergeCell ref="T6:T7"/>
    <mergeCell ref="M6:P6"/>
    <mergeCell ref="Q6:Q7"/>
    <mergeCell ref="R6:R7"/>
    <mergeCell ref="S6:S7"/>
    <mergeCell ref="A6:A7"/>
    <mergeCell ref="B6:B7"/>
    <mergeCell ref="C6:C7"/>
    <mergeCell ref="D6:D7"/>
    <mergeCell ref="E6:E7"/>
    <mergeCell ref="A4:J4"/>
    <mergeCell ref="K1:T1"/>
    <mergeCell ref="A2:J2"/>
    <mergeCell ref="K2:T2"/>
    <mergeCell ref="A3:J3"/>
    <mergeCell ref="K3:T3"/>
    <mergeCell ref="A1:J1"/>
    <mergeCell ref="K4:T4"/>
  </mergeCells>
  <phoneticPr fontId="14" type="noConversion"/>
  <pageMargins left="0.6692913385826772" right="0.6692913385826772" top="0.59055118110236227" bottom="0.78740157480314965" header="0.39370078740157483" footer="0.47244094488188981"/>
  <pageSetup paperSize="9" scale="99" firstPageNumber="38" orientation="portrait" blackAndWhite="1" useFirstPageNumber="1" r:id="rId1"/>
  <headerFooter scaleWithDoc="0" alignWithMargins="0">
    <oddFooter>&amp;C&amp;"Arial Unicode MS,標準"&amp;P</oddFooter>
  </headerFooter>
  <colBreaks count="1" manualBreakCount="1">
    <brk id="10" max="32" man="1"/>
  </colBreaks>
</worksheet>
</file>

<file path=xl/worksheets/sheet43.xml><?xml version="1.0" encoding="utf-8"?>
<worksheet xmlns="http://schemas.openxmlformats.org/spreadsheetml/2006/main" xmlns:r="http://schemas.openxmlformats.org/officeDocument/2006/relationships">
  <dimension ref="A1:T33"/>
  <sheetViews>
    <sheetView workbookViewId="0">
      <selection activeCell="A33" sqref="A33"/>
    </sheetView>
  </sheetViews>
  <sheetFormatPr defaultRowHeight="16.5"/>
  <cols>
    <col min="1" max="1" width="16.5" customWidth="1"/>
    <col min="2" max="4" width="8.125" customWidth="1"/>
    <col min="5" max="5" width="6.875" customWidth="1"/>
    <col min="6" max="6" width="8.125" customWidth="1"/>
    <col min="7" max="7" width="7.625" customWidth="1"/>
    <col min="8" max="10" width="8.125" customWidth="1"/>
    <col min="11" max="15" width="8.625" customWidth="1"/>
    <col min="16" max="16" width="7.75" customWidth="1"/>
    <col min="17" max="17" width="7.625" customWidth="1"/>
    <col min="18" max="18" width="8.625" customWidth="1"/>
    <col min="19" max="20" width="10.625" customWidth="1"/>
  </cols>
  <sheetData>
    <row r="1" spans="1:20" ht="25.5">
      <c r="A1" s="1277" t="s">
        <v>742</v>
      </c>
      <c r="B1" s="1277"/>
      <c r="C1" s="1277"/>
      <c r="D1" s="1277"/>
      <c r="E1" s="1277"/>
      <c r="F1" s="1277"/>
      <c r="G1" s="1277"/>
      <c r="H1" s="1277"/>
      <c r="I1" s="1277"/>
      <c r="J1" s="1277"/>
      <c r="K1" s="1272" t="s">
        <v>743</v>
      </c>
      <c r="L1" s="1272"/>
      <c r="M1" s="1272"/>
      <c r="N1" s="1272"/>
      <c r="O1" s="1272"/>
      <c r="P1" s="1272"/>
      <c r="Q1" s="1272"/>
      <c r="R1" s="1272"/>
      <c r="S1" s="1272"/>
      <c r="T1" s="1272"/>
    </row>
    <row r="2" spans="1:20" ht="21">
      <c r="A2" s="1273" t="s">
        <v>744</v>
      </c>
      <c r="B2" s="1273"/>
      <c r="C2" s="1273"/>
      <c r="D2" s="1273"/>
      <c r="E2" s="1273"/>
      <c r="F2" s="1273"/>
      <c r="G2" s="1273"/>
      <c r="H2" s="1273"/>
      <c r="I2" s="1273"/>
      <c r="J2" s="1273"/>
      <c r="K2" s="1274" t="s">
        <v>745</v>
      </c>
      <c r="L2" s="1274"/>
      <c r="M2" s="1274"/>
      <c r="N2" s="1274"/>
      <c r="O2" s="1274"/>
      <c r="P2" s="1274"/>
      <c r="Q2" s="1274"/>
      <c r="R2" s="1274"/>
      <c r="S2" s="1274"/>
      <c r="T2" s="1274"/>
    </row>
    <row r="3" spans="1:20" ht="21">
      <c r="A3" s="1275" t="s">
        <v>746</v>
      </c>
      <c r="B3" s="1275"/>
      <c r="C3" s="1275"/>
      <c r="D3" s="1275"/>
      <c r="E3" s="1275"/>
      <c r="F3" s="1275"/>
      <c r="G3" s="1275"/>
      <c r="H3" s="1275"/>
      <c r="I3" s="1275"/>
      <c r="J3" s="1275"/>
      <c r="K3" s="1276" t="s">
        <v>747</v>
      </c>
      <c r="L3" s="1276"/>
      <c r="M3" s="1276"/>
      <c r="N3" s="1276"/>
      <c r="O3" s="1276"/>
      <c r="P3" s="1276"/>
      <c r="Q3" s="1276"/>
      <c r="R3" s="1276"/>
      <c r="S3" s="1276"/>
      <c r="T3" s="1276"/>
    </row>
    <row r="4" spans="1:20" ht="19.5">
      <c r="A4" s="1271" t="s">
        <v>748</v>
      </c>
      <c r="B4" s="1271"/>
      <c r="C4" s="1271"/>
      <c r="D4" s="1271"/>
      <c r="E4" s="1271"/>
      <c r="F4" s="1271"/>
      <c r="G4" s="1271"/>
      <c r="H4" s="1271"/>
      <c r="I4" s="1271"/>
      <c r="J4" s="1271"/>
      <c r="K4" s="1278" t="s">
        <v>817</v>
      </c>
      <c r="L4" s="1278"/>
      <c r="M4" s="1278"/>
      <c r="N4" s="1278"/>
      <c r="O4" s="1278"/>
      <c r="P4" s="1278"/>
      <c r="Q4" s="1278"/>
      <c r="R4" s="1278"/>
      <c r="S4" s="1278"/>
      <c r="T4" s="1278"/>
    </row>
    <row r="5" spans="1:20" ht="17.25" thickBot="1">
      <c r="A5" s="3"/>
      <c r="B5" s="3"/>
      <c r="C5" s="3"/>
      <c r="D5" s="3"/>
      <c r="E5" s="3"/>
      <c r="F5" s="3"/>
      <c r="G5" s="3"/>
      <c r="H5" s="3"/>
      <c r="I5" s="3"/>
      <c r="J5" s="3"/>
      <c r="K5" s="3"/>
      <c r="L5" s="3"/>
      <c r="M5" s="3"/>
      <c r="N5" s="3"/>
      <c r="O5" s="3"/>
      <c r="P5" s="3"/>
      <c r="Q5" s="3"/>
      <c r="R5" s="3"/>
      <c r="S5" s="1"/>
      <c r="T5" s="11" t="s">
        <v>749</v>
      </c>
    </row>
    <row r="6" spans="1:20" ht="20.65" customHeight="1">
      <c r="A6" s="1279" t="s">
        <v>750</v>
      </c>
      <c r="B6" s="1178" t="s">
        <v>751</v>
      </c>
      <c r="C6" s="1178" t="s">
        <v>752</v>
      </c>
      <c r="D6" s="1178" t="s">
        <v>753</v>
      </c>
      <c r="E6" s="1178" t="s">
        <v>754</v>
      </c>
      <c r="F6" s="1178" t="s">
        <v>755</v>
      </c>
      <c r="G6" s="1178"/>
      <c r="H6" s="1178"/>
      <c r="I6" s="1178"/>
      <c r="J6" s="1281" t="s">
        <v>756</v>
      </c>
      <c r="K6" s="1282"/>
      <c r="L6" s="1283" t="s">
        <v>757</v>
      </c>
      <c r="M6" s="1281" t="s">
        <v>758</v>
      </c>
      <c r="N6" s="1287"/>
      <c r="O6" s="1287"/>
      <c r="P6" s="1282"/>
      <c r="Q6" s="1283" t="s">
        <v>759</v>
      </c>
      <c r="R6" s="1283" t="s">
        <v>760</v>
      </c>
      <c r="S6" s="1283" t="s">
        <v>761</v>
      </c>
      <c r="T6" s="1285" t="s">
        <v>762</v>
      </c>
    </row>
    <row r="7" spans="1:20" ht="41.25" customHeight="1">
      <c r="A7" s="1280"/>
      <c r="B7" s="1181"/>
      <c r="C7" s="1181"/>
      <c r="D7" s="1181"/>
      <c r="E7" s="1181"/>
      <c r="F7" s="455" t="s">
        <v>763</v>
      </c>
      <c r="G7" s="455" t="s">
        <v>764</v>
      </c>
      <c r="H7" s="455" t="s">
        <v>765</v>
      </c>
      <c r="I7" s="455" t="s">
        <v>766</v>
      </c>
      <c r="J7" s="455" t="s">
        <v>767</v>
      </c>
      <c r="K7" s="455" t="s">
        <v>768</v>
      </c>
      <c r="L7" s="1284"/>
      <c r="M7" s="455" t="s">
        <v>769</v>
      </c>
      <c r="N7" s="455" t="s">
        <v>770</v>
      </c>
      <c r="O7" s="455" t="s">
        <v>771</v>
      </c>
      <c r="P7" s="455" t="s">
        <v>766</v>
      </c>
      <c r="Q7" s="1284"/>
      <c r="R7" s="1284"/>
      <c r="S7" s="1284"/>
      <c r="T7" s="1286"/>
    </row>
    <row r="8" spans="1:20" ht="25.15" customHeight="1">
      <c r="A8" s="285"/>
      <c r="B8" s="449"/>
      <c r="C8" s="449"/>
      <c r="D8" s="449"/>
      <c r="E8" s="449"/>
      <c r="F8" s="449"/>
      <c r="G8" s="449"/>
      <c r="H8" s="449"/>
      <c r="I8" s="449"/>
      <c r="J8" s="449"/>
      <c r="K8" s="449"/>
      <c r="L8" s="449"/>
      <c r="M8" s="449"/>
      <c r="N8" s="449"/>
      <c r="O8" s="449"/>
      <c r="P8" s="449"/>
      <c r="Q8" s="449"/>
      <c r="R8" s="449"/>
      <c r="S8" s="449"/>
      <c r="T8" s="450"/>
    </row>
    <row r="9" spans="1:20" ht="25.15" customHeight="1">
      <c r="A9" s="285"/>
      <c r="B9" s="449"/>
      <c r="C9" s="449"/>
      <c r="D9" s="449"/>
      <c r="E9" s="449"/>
      <c r="F9" s="449"/>
      <c r="G9" s="449"/>
      <c r="H9" s="449"/>
      <c r="I9" s="449"/>
      <c r="J9" s="449"/>
      <c r="K9" s="449"/>
      <c r="L9" s="449"/>
      <c r="M9" s="449"/>
      <c r="N9" s="449"/>
      <c r="O9" s="449"/>
      <c r="P9" s="449"/>
      <c r="Q9" s="449"/>
      <c r="R9" s="449"/>
      <c r="S9" s="449"/>
      <c r="T9" s="450"/>
    </row>
    <row r="10" spans="1:20" ht="25.15" customHeight="1">
      <c r="A10" s="285"/>
      <c r="B10" s="449"/>
      <c r="C10" s="449"/>
      <c r="D10" s="449"/>
      <c r="E10" s="449"/>
      <c r="F10" s="449"/>
      <c r="G10" s="449"/>
      <c r="H10" s="449"/>
      <c r="I10" s="449"/>
      <c r="J10" s="449"/>
      <c r="K10" s="449"/>
      <c r="L10" s="449"/>
      <c r="M10" s="449"/>
      <c r="N10" s="449"/>
      <c r="O10" s="449"/>
      <c r="P10" s="449"/>
      <c r="Q10" s="449"/>
      <c r="R10" s="449"/>
      <c r="S10" s="449"/>
      <c r="T10" s="450"/>
    </row>
    <row r="11" spans="1:20" ht="25.15" customHeight="1">
      <c r="A11" s="285"/>
      <c r="B11" s="449"/>
      <c r="C11" s="449"/>
      <c r="D11" s="449"/>
      <c r="E11" s="449"/>
      <c r="F11" s="449"/>
      <c r="G11" s="449"/>
      <c r="H11" s="449"/>
      <c r="I11" s="449"/>
      <c r="J11" s="449"/>
      <c r="K11" s="449"/>
      <c r="L11" s="449"/>
      <c r="M11" s="449"/>
      <c r="N11" s="449"/>
      <c r="O11" s="449"/>
      <c r="P11" s="449"/>
      <c r="Q11" s="449"/>
      <c r="R11" s="449"/>
      <c r="S11" s="449"/>
      <c r="T11" s="450"/>
    </row>
    <row r="12" spans="1:20" ht="25.15" customHeight="1">
      <c r="A12" s="285"/>
      <c r="B12" s="449"/>
      <c r="C12" s="449"/>
      <c r="D12" s="449"/>
      <c r="E12" s="449"/>
      <c r="F12" s="449"/>
      <c r="G12" s="449"/>
      <c r="H12" s="449"/>
      <c r="I12" s="449"/>
      <c r="J12" s="449"/>
      <c r="K12" s="449"/>
      <c r="L12" s="449"/>
      <c r="M12" s="449"/>
      <c r="N12" s="449"/>
      <c r="O12" s="449"/>
      <c r="P12" s="449"/>
      <c r="Q12" s="449"/>
      <c r="R12" s="449"/>
      <c r="S12" s="449"/>
      <c r="T12" s="450"/>
    </row>
    <row r="13" spans="1:20" ht="25.15" customHeight="1">
      <c r="A13" s="285"/>
      <c r="B13" s="449"/>
      <c r="C13" s="449"/>
      <c r="D13" s="449"/>
      <c r="E13" s="449"/>
      <c r="F13" s="449"/>
      <c r="G13" s="449"/>
      <c r="H13" s="449"/>
      <c r="I13" s="449"/>
      <c r="J13" s="449"/>
      <c r="K13" s="449"/>
      <c r="L13" s="449"/>
      <c r="M13" s="449"/>
      <c r="N13" s="449"/>
      <c r="O13" s="449"/>
      <c r="P13" s="449"/>
      <c r="Q13" s="449"/>
      <c r="R13" s="449"/>
      <c r="S13" s="449"/>
      <c r="T13" s="450"/>
    </row>
    <row r="14" spans="1:20" ht="25.15" customHeight="1">
      <c r="A14" s="285"/>
      <c r="B14" s="449"/>
      <c r="C14" s="449"/>
      <c r="D14" s="449"/>
      <c r="E14" s="449"/>
      <c r="F14" s="449"/>
      <c r="G14" s="449"/>
      <c r="H14" s="449"/>
      <c r="I14" s="449"/>
      <c r="J14" s="449"/>
      <c r="K14" s="449"/>
      <c r="L14" s="449"/>
      <c r="M14" s="449"/>
      <c r="N14" s="449"/>
      <c r="O14" s="449"/>
      <c r="P14" s="449"/>
      <c r="Q14" s="449"/>
      <c r="R14" s="449"/>
      <c r="S14" s="449"/>
      <c r="T14" s="450"/>
    </row>
    <row r="15" spans="1:20" ht="25.15" customHeight="1">
      <c r="A15" s="285"/>
      <c r="B15" s="449"/>
      <c r="C15" s="449"/>
      <c r="D15" s="449"/>
      <c r="E15" s="449"/>
      <c r="F15" s="449"/>
      <c r="G15" s="449"/>
      <c r="H15" s="449"/>
      <c r="I15" s="449"/>
      <c r="J15" s="449"/>
      <c r="K15" s="449"/>
      <c r="L15" s="449"/>
      <c r="M15" s="449"/>
      <c r="N15" s="449"/>
      <c r="O15" s="449"/>
      <c r="P15" s="449"/>
      <c r="Q15" s="449"/>
      <c r="R15" s="449"/>
      <c r="S15" s="449"/>
      <c r="T15" s="450"/>
    </row>
    <row r="16" spans="1:20" ht="25.15" customHeight="1">
      <c r="A16" s="285"/>
      <c r="B16" s="449"/>
      <c r="C16" s="449"/>
      <c r="D16" s="449"/>
      <c r="E16" s="449"/>
      <c r="F16" s="449"/>
      <c r="G16" s="449"/>
      <c r="H16" s="449"/>
      <c r="I16" s="449"/>
      <c r="J16" s="449"/>
      <c r="K16" s="449"/>
      <c r="L16" s="449"/>
      <c r="M16" s="449"/>
      <c r="N16" s="449"/>
      <c r="O16" s="449"/>
      <c r="P16" s="449"/>
      <c r="Q16" s="449"/>
      <c r="R16" s="449"/>
      <c r="S16" s="449"/>
      <c r="T16" s="450"/>
    </row>
    <row r="17" spans="1:20" ht="25.15" customHeight="1">
      <c r="A17" s="285"/>
      <c r="B17" s="449"/>
      <c r="C17" s="449"/>
      <c r="D17" s="449"/>
      <c r="E17" s="449"/>
      <c r="F17" s="449"/>
      <c r="G17" s="449"/>
      <c r="H17" s="449"/>
      <c r="I17" s="449"/>
      <c r="J17" s="449"/>
      <c r="K17" s="449"/>
      <c r="L17" s="449"/>
      <c r="M17" s="449"/>
      <c r="N17" s="449"/>
      <c r="O17" s="449"/>
      <c r="P17" s="449"/>
      <c r="Q17" s="449"/>
      <c r="R17" s="449"/>
      <c r="S17" s="449"/>
      <c r="T17" s="450"/>
    </row>
    <row r="18" spans="1:20" ht="25.15" customHeight="1">
      <c r="A18" s="285"/>
      <c r="B18" s="449"/>
      <c r="C18" s="449"/>
      <c r="D18" s="449"/>
      <c r="E18" s="449"/>
      <c r="F18" s="449"/>
      <c r="G18" s="449"/>
      <c r="H18" s="449"/>
      <c r="I18" s="449"/>
      <c r="J18" s="449"/>
      <c r="K18" s="449"/>
      <c r="L18" s="449"/>
      <c r="M18" s="449"/>
      <c r="N18" s="449"/>
      <c r="O18" s="449"/>
      <c r="P18" s="449"/>
      <c r="Q18" s="449"/>
      <c r="R18" s="449"/>
      <c r="S18" s="449"/>
      <c r="T18" s="450"/>
    </row>
    <row r="19" spans="1:20" ht="25.15" customHeight="1">
      <c r="A19" s="285"/>
      <c r="B19" s="449"/>
      <c r="C19" s="449"/>
      <c r="D19" s="449"/>
      <c r="E19" s="449"/>
      <c r="F19" s="449"/>
      <c r="G19" s="449"/>
      <c r="H19" s="449"/>
      <c r="I19" s="449"/>
      <c r="J19" s="449"/>
      <c r="K19" s="449"/>
      <c r="L19" s="449"/>
      <c r="M19" s="449"/>
      <c r="N19" s="449"/>
      <c r="O19" s="449"/>
      <c r="P19" s="449"/>
      <c r="Q19" s="449"/>
      <c r="R19" s="449"/>
      <c r="S19" s="449"/>
      <c r="T19" s="450"/>
    </row>
    <row r="20" spans="1:20" ht="25.15" customHeight="1">
      <c r="A20" s="285"/>
      <c r="B20" s="449"/>
      <c r="C20" s="449"/>
      <c r="D20" s="449"/>
      <c r="E20" s="449"/>
      <c r="F20" s="449"/>
      <c r="G20" s="449"/>
      <c r="H20" s="449"/>
      <c r="I20" s="449"/>
      <c r="J20" s="449"/>
      <c r="K20" s="449"/>
      <c r="L20" s="449"/>
      <c r="M20" s="449"/>
      <c r="N20" s="449"/>
      <c r="O20" s="449"/>
      <c r="P20" s="449"/>
      <c r="Q20" s="449"/>
      <c r="R20" s="449"/>
      <c r="S20" s="449"/>
      <c r="T20" s="450"/>
    </row>
    <row r="21" spans="1:20" ht="25.15" customHeight="1">
      <c r="A21" s="285"/>
      <c r="B21" s="449"/>
      <c r="C21" s="449"/>
      <c r="D21" s="449"/>
      <c r="E21" s="449"/>
      <c r="F21" s="449"/>
      <c r="G21" s="449"/>
      <c r="H21" s="449"/>
      <c r="I21" s="449"/>
      <c r="J21" s="449"/>
      <c r="K21" s="449"/>
      <c r="L21" s="449"/>
      <c r="M21" s="449"/>
      <c r="N21" s="449"/>
      <c r="O21" s="449"/>
      <c r="P21" s="449"/>
      <c r="Q21" s="449"/>
      <c r="R21" s="449"/>
      <c r="S21" s="449"/>
      <c r="T21" s="450"/>
    </row>
    <row r="22" spans="1:20" ht="25.15" customHeight="1">
      <c r="A22" s="285"/>
      <c r="B22" s="449"/>
      <c r="C22" s="449"/>
      <c r="D22" s="449"/>
      <c r="E22" s="449"/>
      <c r="F22" s="449"/>
      <c r="G22" s="449"/>
      <c r="H22" s="449"/>
      <c r="I22" s="449"/>
      <c r="J22" s="449"/>
      <c r="K22" s="449"/>
      <c r="L22" s="449"/>
      <c r="M22" s="449"/>
      <c r="N22" s="449"/>
      <c r="O22" s="449"/>
      <c r="P22" s="449"/>
      <c r="Q22" s="449"/>
      <c r="R22" s="449"/>
      <c r="S22" s="449"/>
      <c r="T22" s="450"/>
    </row>
    <row r="23" spans="1:20" ht="25.15" customHeight="1">
      <c r="A23" s="285"/>
      <c r="B23" s="449"/>
      <c r="C23" s="449"/>
      <c r="D23" s="449"/>
      <c r="E23" s="449"/>
      <c r="F23" s="449"/>
      <c r="G23" s="449"/>
      <c r="H23" s="449"/>
      <c r="I23" s="449"/>
      <c r="J23" s="449"/>
      <c r="K23" s="449"/>
      <c r="L23" s="449"/>
      <c r="M23" s="449"/>
      <c r="N23" s="449"/>
      <c r="O23" s="449"/>
      <c r="P23" s="449"/>
      <c r="Q23" s="449"/>
      <c r="R23" s="449"/>
      <c r="S23" s="449"/>
      <c r="T23" s="450"/>
    </row>
    <row r="24" spans="1:20" ht="25.15" customHeight="1">
      <c r="A24" s="285"/>
      <c r="B24" s="449"/>
      <c r="C24" s="449"/>
      <c r="D24" s="449"/>
      <c r="E24" s="449"/>
      <c r="F24" s="449"/>
      <c r="G24" s="449"/>
      <c r="H24" s="449"/>
      <c r="I24" s="449"/>
      <c r="J24" s="449"/>
      <c r="K24" s="449"/>
      <c r="L24" s="449"/>
      <c r="M24" s="449"/>
      <c r="N24" s="449"/>
      <c r="O24" s="449"/>
      <c r="P24" s="449"/>
      <c r="Q24" s="449"/>
      <c r="R24" s="449"/>
      <c r="S24" s="449"/>
      <c r="T24" s="450"/>
    </row>
    <row r="25" spans="1:20" ht="25.15" customHeight="1">
      <c r="A25" s="285"/>
      <c r="B25" s="449"/>
      <c r="C25" s="449"/>
      <c r="D25" s="449"/>
      <c r="E25" s="449"/>
      <c r="F25" s="449"/>
      <c r="G25" s="449"/>
      <c r="H25" s="449"/>
      <c r="I25" s="449"/>
      <c r="J25" s="449"/>
      <c r="K25" s="449"/>
      <c r="L25" s="449"/>
      <c r="M25" s="449"/>
      <c r="N25" s="449"/>
      <c r="O25" s="449"/>
      <c r="P25" s="449"/>
      <c r="Q25" s="449"/>
      <c r="R25" s="449"/>
      <c r="S25" s="449"/>
      <c r="T25" s="450"/>
    </row>
    <row r="26" spans="1:20" ht="25.15" customHeight="1">
      <c r="A26" s="456"/>
      <c r="B26" s="449"/>
      <c r="C26" s="449"/>
      <c r="D26" s="449"/>
      <c r="E26" s="449"/>
      <c r="F26" s="449"/>
      <c r="G26" s="449"/>
      <c r="H26" s="449"/>
      <c r="I26" s="449"/>
      <c r="J26" s="449"/>
      <c r="K26" s="449"/>
      <c r="L26" s="449"/>
      <c r="M26" s="449"/>
      <c r="N26" s="449"/>
      <c r="O26" s="449"/>
      <c r="P26" s="449"/>
      <c r="Q26" s="449"/>
      <c r="R26" s="449"/>
      <c r="S26" s="449"/>
      <c r="T26" s="450"/>
    </row>
    <row r="27" spans="1:20" ht="25.15" customHeight="1">
      <c r="A27" s="285"/>
      <c r="B27" s="449"/>
      <c r="C27" s="449"/>
      <c r="D27" s="449"/>
      <c r="E27" s="449"/>
      <c r="F27" s="449"/>
      <c r="G27" s="449"/>
      <c r="H27" s="449"/>
      <c r="I27" s="449"/>
      <c r="J27" s="449"/>
      <c r="K27" s="449"/>
      <c r="L27" s="449"/>
      <c r="M27" s="449"/>
      <c r="N27" s="449"/>
      <c r="O27" s="449"/>
      <c r="P27" s="449"/>
      <c r="Q27" s="449"/>
      <c r="R27" s="449"/>
      <c r="S27" s="449"/>
      <c r="T27" s="450"/>
    </row>
    <row r="28" spans="1:20" ht="24.75" customHeight="1">
      <c r="A28" s="285"/>
      <c r="B28" s="449"/>
      <c r="C28" s="449"/>
      <c r="D28" s="449"/>
      <c r="E28" s="449"/>
      <c r="F28" s="449"/>
      <c r="G28" s="449"/>
      <c r="H28" s="449"/>
      <c r="I28" s="449"/>
      <c r="J28" s="449"/>
      <c r="K28" s="449"/>
      <c r="L28" s="449"/>
      <c r="M28" s="449"/>
      <c r="N28" s="449"/>
      <c r="O28" s="449"/>
      <c r="P28" s="449"/>
      <c r="Q28" s="449"/>
      <c r="R28" s="449"/>
      <c r="S28" s="449"/>
      <c r="T28" s="450"/>
    </row>
    <row r="29" spans="1:20" ht="25.15" customHeight="1" thickBot="1">
      <c r="A29" s="451"/>
      <c r="B29" s="452"/>
      <c r="C29" s="452"/>
      <c r="D29" s="452"/>
      <c r="E29" s="452"/>
      <c r="F29" s="452"/>
      <c r="G29" s="452"/>
      <c r="H29" s="452"/>
      <c r="I29" s="452"/>
      <c r="J29" s="452"/>
      <c r="K29" s="452"/>
      <c r="L29" s="452"/>
      <c r="M29" s="452"/>
      <c r="N29" s="452"/>
      <c r="O29" s="452"/>
      <c r="P29" s="452"/>
      <c r="Q29" s="452"/>
      <c r="R29" s="452"/>
      <c r="S29" s="452"/>
      <c r="T29" s="453"/>
    </row>
    <row r="30" spans="1:20">
      <c r="A30" s="1" t="s">
        <v>772</v>
      </c>
    </row>
    <row r="31" spans="1:20">
      <c r="A31" s="1" t="s">
        <v>818</v>
      </c>
    </row>
    <row r="32" spans="1:20">
      <c r="A32" s="1" t="s">
        <v>781</v>
      </c>
    </row>
    <row r="33" spans="1:1">
      <c r="A33" s="1" t="s">
        <v>819</v>
      </c>
    </row>
  </sheetData>
  <mergeCells count="21">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 ref="R6:R7"/>
    <mergeCell ref="S6:S7"/>
    <mergeCell ref="E6:E7"/>
    <mergeCell ref="K2:T2"/>
    <mergeCell ref="J6:K6"/>
  </mergeCells>
  <phoneticPr fontId="14" type="noConversion"/>
  <pageMargins left="0.6692913385826772" right="0.6692913385826772" top="0.59055118110236227" bottom="0.78740157480314965" header="0.39370078740157483" footer="0.47244094488188981"/>
  <pageSetup paperSize="9" firstPageNumber="38" orientation="portrait" useFirstPageNumber="1" r:id="rId1"/>
  <headerFooter alignWithMargins="0">
    <oddFooter>&amp;C&amp;"Arial Unicode MS,標準"&amp;P</oddFooter>
  </headerFooter>
</worksheet>
</file>

<file path=xl/worksheets/sheet44.xml><?xml version="1.0" encoding="utf-8"?>
<worksheet xmlns="http://schemas.openxmlformats.org/spreadsheetml/2006/main" xmlns:r="http://schemas.openxmlformats.org/officeDocument/2006/relationships">
  <sheetPr codeName="Sheet42">
    <tabColor rgb="FFFFFFCC"/>
  </sheetPr>
  <dimension ref="A1:H44"/>
  <sheetViews>
    <sheetView zoomScaleNormal="100" zoomScaleSheetLayoutView="100" workbookViewId="0">
      <selection activeCell="A10" sqref="A10"/>
    </sheetView>
  </sheetViews>
  <sheetFormatPr defaultColWidth="9" defaultRowHeight="16.5"/>
  <cols>
    <col min="1" max="1" width="11.875" style="30" customWidth="1"/>
    <col min="2" max="2" width="12.875" style="30" customWidth="1"/>
    <col min="3" max="3" width="28.25" style="30" customWidth="1"/>
    <col min="4" max="4" width="12.5" style="30" customWidth="1"/>
    <col min="5" max="5" width="12.5" style="30" hidden="1" customWidth="1"/>
    <col min="6" max="6" width="11.75" style="30" customWidth="1"/>
    <col min="7" max="7" width="9.625" style="30" hidden="1" customWidth="1"/>
    <col min="8" max="8" width="9.25" style="30" customWidth="1"/>
    <col min="9" max="16384" width="9" style="30"/>
  </cols>
  <sheetData>
    <row r="1" spans="1:8" ht="25.5">
      <c r="A1" s="1017" t="s">
        <v>436</v>
      </c>
      <c r="B1" s="1288"/>
      <c r="C1" s="1288"/>
      <c r="D1" s="1288"/>
      <c r="E1" s="1288"/>
      <c r="F1" s="1288"/>
      <c r="G1" s="1288"/>
      <c r="H1" s="1288"/>
    </row>
    <row r="2" spans="1:8" ht="21">
      <c r="A2" s="1028" t="s">
        <v>437</v>
      </c>
      <c r="B2" s="1289"/>
      <c r="C2" s="1289"/>
      <c r="D2" s="1289"/>
      <c r="E2" s="1289"/>
      <c r="F2" s="1289"/>
      <c r="G2" s="1289"/>
      <c r="H2" s="1289"/>
    </row>
    <row r="3" spans="1:8" ht="21">
      <c r="A3" s="1027" t="s">
        <v>561</v>
      </c>
      <c r="B3" s="1289"/>
      <c r="C3" s="1289"/>
      <c r="D3" s="1289"/>
      <c r="E3" s="1289"/>
      <c r="F3" s="1289"/>
      <c r="G3" s="1289"/>
      <c r="H3" s="1289"/>
    </row>
    <row r="4" spans="1:8" s="196" customFormat="1" ht="19.5">
      <c r="A4" s="1145" t="s">
        <v>1062</v>
      </c>
      <c r="B4" s="1145"/>
      <c r="C4" s="1145"/>
      <c r="D4" s="1145"/>
      <c r="E4" s="1145"/>
      <c r="F4" s="1145"/>
      <c r="G4" s="1145"/>
      <c r="H4" s="1145"/>
    </row>
    <row r="5" spans="1:8" s="37" customFormat="1" ht="17.25" thickBot="1">
      <c r="A5" s="1297" t="s">
        <v>623</v>
      </c>
      <c r="B5" s="1297"/>
      <c r="C5" s="1297"/>
      <c r="D5" s="1297"/>
      <c r="E5" s="1297"/>
      <c r="F5" s="1297"/>
      <c r="G5" s="1297"/>
      <c r="H5" s="1297"/>
    </row>
    <row r="6" spans="1:8" ht="23.25" customHeight="1">
      <c r="A6" s="1292" t="s">
        <v>562</v>
      </c>
      <c r="B6" s="1290" t="s">
        <v>675</v>
      </c>
      <c r="C6" s="1294" t="s">
        <v>563</v>
      </c>
      <c r="D6" s="1290" t="s">
        <v>807</v>
      </c>
      <c r="E6" s="1290"/>
      <c r="F6" s="1295"/>
      <c r="G6" s="1295"/>
      <c r="H6" s="1296"/>
    </row>
    <row r="7" spans="1:8" ht="33.75" customHeight="1">
      <c r="A7" s="1293"/>
      <c r="B7" s="1291"/>
      <c r="C7" s="1291"/>
      <c r="D7" s="566" t="s">
        <v>304</v>
      </c>
      <c r="E7" s="566"/>
      <c r="F7" s="566" t="s">
        <v>216</v>
      </c>
      <c r="G7" s="566" t="s">
        <v>77</v>
      </c>
      <c r="H7" s="613" t="s">
        <v>936</v>
      </c>
    </row>
    <row r="8" spans="1:8" s="74" customFormat="1" ht="25.15" customHeight="1">
      <c r="A8" s="669">
        <f>'40-41.各項費用彙計表(7級) '!B8</f>
        <v>505646</v>
      </c>
      <c r="B8" s="670">
        <f>SUM(B9,B10,B11,B12,B13,B14,B15,B16,B17)</f>
        <v>532280</v>
      </c>
      <c r="C8" s="436" t="s">
        <v>442</v>
      </c>
      <c r="D8" s="673">
        <f>F8+G8+H8</f>
        <v>529733</v>
      </c>
      <c r="E8" s="673">
        <f>D8-A8</f>
        <v>24087</v>
      </c>
      <c r="F8" s="670">
        <f>SUM(F9,F10,F11,F12,F13,F14,F15,F16,F17)</f>
        <v>529733</v>
      </c>
      <c r="G8" s="670">
        <f>SUM(G9,G10,G11,G12,G13,G14,G15,G16,G17)</f>
        <v>0</v>
      </c>
      <c r="H8" s="416">
        <f>SUM(H9,H10,H11,H12,H13,H14,H15,H16,H17)</f>
        <v>0</v>
      </c>
    </row>
    <row r="9" spans="1:8" ht="25.15" customHeight="1">
      <c r="A9" s="156">
        <f>'40-41.各項費用彙計表(7級) '!B9</f>
        <v>10991</v>
      </c>
      <c r="B9" s="126">
        <f>'40-41.各項費用彙計表(7級) '!C9</f>
        <v>12000</v>
      </c>
      <c r="C9" s="152" t="s">
        <v>443</v>
      </c>
      <c r="D9" s="674">
        <f t="shared" ref="D9:D44" si="0">F9+G9+H9</f>
        <v>12000</v>
      </c>
      <c r="E9" s="674">
        <f t="shared" ref="E9:E42" si="1">D9-A9</f>
        <v>1009</v>
      </c>
      <c r="F9" s="126">
        <f>'40-41.各項費用彙計表(7級) '!G9</f>
        <v>12000</v>
      </c>
      <c r="G9" s="126">
        <f>'40-41.各項費用彙計表(7級) '!H9</f>
        <v>0</v>
      </c>
      <c r="H9" s="366">
        <f>'40-41.各項費用彙計表(7級) '!I9</f>
        <v>0</v>
      </c>
    </row>
    <row r="10" spans="1:8" ht="25.15" customHeight="1">
      <c r="A10" s="156">
        <f>'40-41.各項費用彙計表(7級) '!B13</f>
        <v>9225</v>
      </c>
      <c r="B10" s="126">
        <f>'40-41.各項費用彙計表(7級) '!C13</f>
        <v>18013</v>
      </c>
      <c r="C10" s="152" t="s">
        <v>447</v>
      </c>
      <c r="D10" s="674">
        <f t="shared" si="0"/>
        <v>11463</v>
      </c>
      <c r="E10" s="674">
        <f t="shared" si="1"/>
        <v>2238</v>
      </c>
      <c r="F10" s="126">
        <f>'40-41.各項費用彙計表(7級) '!G13</f>
        <v>11463</v>
      </c>
      <c r="G10" s="126">
        <f>'40-41.各項費用彙計表(7級) '!H13</f>
        <v>0</v>
      </c>
      <c r="H10" s="366">
        <f>'40-41.各項費用彙計表(7級) '!I13</f>
        <v>0</v>
      </c>
    </row>
    <row r="11" spans="1:8" ht="25.15" customHeight="1">
      <c r="A11" s="156">
        <f>'40-41.各項費用彙計表(7級) '!B17</f>
        <v>4515</v>
      </c>
      <c r="B11" s="126">
        <f>'40-41.各項費用彙計表(7級) '!C17</f>
        <v>5027</v>
      </c>
      <c r="C11" s="152" t="s">
        <v>450</v>
      </c>
      <c r="D11" s="674">
        <f t="shared" si="0"/>
        <v>5024</v>
      </c>
      <c r="E11" s="674">
        <f t="shared" si="1"/>
        <v>509</v>
      </c>
      <c r="F11" s="126">
        <f>'40-41.各項費用彙計表(7級) '!G17</f>
        <v>5024</v>
      </c>
      <c r="G11" s="126">
        <f>'40-41.各項費用彙計表(7級) '!H17</f>
        <v>0</v>
      </c>
      <c r="H11" s="366">
        <f>'40-41.各項費用彙計表(7級) '!I17</f>
        <v>0</v>
      </c>
    </row>
    <row r="12" spans="1:8" s="37" customFormat="1" ht="25.15" customHeight="1">
      <c r="A12" s="156">
        <f>'40-41.各項費用彙計表(7級) '!B21</f>
        <v>10889</v>
      </c>
      <c r="B12" s="126">
        <f>'40-41.各項費用彙計表(7級) '!C21</f>
        <v>10793</v>
      </c>
      <c r="C12" s="152" t="s">
        <v>453</v>
      </c>
      <c r="D12" s="674">
        <f t="shared" si="0"/>
        <v>10951</v>
      </c>
      <c r="E12" s="674">
        <f t="shared" si="1"/>
        <v>62</v>
      </c>
      <c r="F12" s="126">
        <f>'40-41.各項費用彙計表(7級) '!G21</f>
        <v>10951</v>
      </c>
      <c r="G12" s="126">
        <f>'40-41.各項費用彙計表(7級) '!H21</f>
        <v>0</v>
      </c>
      <c r="H12" s="366">
        <f>'40-41.各項費用彙計表(7級) '!I21</f>
        <v>0</v>
      </c>
    </row>
    <row r="13" spans="1:8" s="37" customFormat="1" ht="25.15" customHeight="1">
      <c r="A13" s="156">
        <f>'40-41.各項費用彙計表(7級) '!B25</f>
        <v>15550</v>
      </c>
      <c r="B13" s="126">
        <f>'40-41.各項費用彙計表(7級) '!C25</f>
        <v>16602</v>
      </c>
      <c r="C13" s="152" t="s">
        <v>564</v>
      </c>
      <c r="D13" s="674">
        <f t="shared" si="0"/>
        <v>9639</v>
      </c>
      <c r="E13" s="676">
        <f t="shared" si="1"/>
        <v>-5911</v>
      </c>
      <c r="F13" s="126">
        <f>'40-41.各項費用彙計表(7級) '!G25</f>
        <v>9639</v>
      </c>
      <c r="G13" s="126">
        <f>'40-41.各項費用彙計表(7級) '!H25</f>
        <v>0</v>
      </c>
      <c r="H13" s="366">
        <f>'40-41.各項費用彙計表(7級) '!I25</f>
        <v>0</v>
      </c>
    </row>
    <row r="14" spans="1:8" s="37" customFormat="1" ht="25.15" customHeight="1">
      <c r="A14" s="156">
        <f>'40-41.各項費用彙計表(7級) '!B30</f>
        <v>54</v>
      </c>
      <c r="B14" s="126">
        <f>'40-41.各項費用彙計表(7級) '!C30</f>
        <v>128</v>
      </c>
      <c r="C14" s="152" t="s">
        <v>565</v>
      </c>
      <c r="D14" s="674">
        <f t="shared" si="0"/>
        <v>74</v>
      </c>
      <c r="E14" s="674">
        <f t="shared" si="1"/>
        <v>20</v>
      </c>
      <c r="F14" s="126">
        <f>'40-41.各項費用彙計表(7級) '!G30</f>
        <v>74</v>
      </c>
      <c r="G14" s="126">
        <f>'40-41.各項費用彙計表(7級) '!H30</f>
        <v>0</v>
      </c>
      <c r="H14" s="366">
        <f>'40-41.各項費用彙計表(7級) '!I30</f>
        <v>0</v>
      </c>
    </row>
    <row r="15" spans="1:8" s="37" customFormat="1" ht="25.15" customHeight="1">
      <c r="A15" s="156">
        <f>'40-41.各項費用彙計表(7級) '!B33</f>
        <v>113390</v>
      </c>
      <c r="B15" s="126">
        <f>'40-41.各項費用彙計表(7級) '!C33</f>
        <v>104621</v>
      </c>
      <c r="C15" s="154" t="s">
        <v>0</v>
      </c>
      <c r="D15" s="674">
        <f t="shared" si="0"/>
        <v>121591</v>
      </c>
      <c r="E15" s="676">
        <f t="shared" si="1"/>
        <v>8201</v>
      </c>
      <c r="F15" s="126">
        <f>'40-41.各項費用彙計表(7級) '!G33</f>
        <v>121591</v>
      </c>
      <c r="G15" s="126">
        <f>'40-41.各項費用彙計表(7級) '!H33</f>
        <v>0</v>
      </c>
      <c r="H15" s="366">
        <f>'40-41.各項費用彙計表(7級) '!I33</f>
        <v>0</v>
      </c>
    </row>
    <row r="16" spans="1:8" s="37" customFormat="1" ht="25.15" customHeight="1">
      <c r="A16" s="156">
        <f>'40-41.各項費用彙計表(7級) '!B38</f>
        <v>340845</v>
      </c>
      <c r="B16" s="126">
        <f>'40-41.各項費用彙計表(7級) '!C38</f>
        <v>364796</v>
      </c>
      <c r="C16" s="152" t="s">
        <v>566</v>
      </c>
      <c r="D16" s="674">
        <f t="shared" si="0"/>
        <v>358691</v>
      </c>
      <c r="E16" s="674">
        <f t="shared" si="1"/>
        <v>17846</v>
      </c>
      <c r="F16" s="126">
        <f>'40-41.各項費用彙計表(7級) '!G38</f>
        <v>358691</v>
      </c>
      <c r="G16" s="126">
        <f>'40-41.各項費用彙計表(7級) '!H38</f>
        <v>0</v>
      </c>
      <c r="H16" s="366">
        <f>'40-41.各項費用彙計表(7級) '!I38</f>
        <v>0</v>
      </c>
    </row>
    <row r="17" spans="1:8" ht="25.15" customHeight="1">
      <c r="A17" s="156">
        <f>'40-41.各項費用彙計表(7級) '!B48</f>
        <v>186</v>
      </c>
      <c r="B17" s="126">
        <f>'40-41.各項費用彙計表(7級) '!C48</f>
        <v>300</v>
      </c>
      <c r="C17" s="152" t="s">
        <v>567</v>
      </c>
      <c r="D17" s="674">
        <f t="shared" si="0"/>
        <v>300</v>
      </c>
      <c r="E17" s="674">
        <f t="shared" si="1"/>
        <v>114</v>
      </c>
      <c r="F17" s="126">
        <f>'40-41.各項費用彙計表(7級) '!G48</f>
        <v>300</v>
      </c>
      <c r="G17" s="126">
        <f>'40-41.各項費用彙計表(7級) '!H48</f>
        <v>0</v>
      </c>
      <c r="H17" s="366">
        <f>'40-41.各項費用彙計表(7級) '!I48</f>
        <v>0</v>
      </c>
    </row>
    <row r="18" spans="1:8" s="74" customFormat="1" ht="25.15" customHeight="1">
      <c r="A18" s="369">
        <f>SUM(A19,A20)</f>
        <v>23586</v>
      </c>
      <c r="B18" s="149">
        <f>SUM(B19,B20)</f>
        <v>22311</v>
      </c>
      <c r="C18" s="565" t="s">
        <v>6</v>
      </c>
      <c r="D18" s="550">
        <f t="shared" si="0"/>
        <v>26342</v>
      </c>
      <c r="E18" s="550">
        <f t="shared" si="1"/>
        <v>2756</v>
      </c>
      <c r="F18" s="149">
        <f>SUM(F19,F20)</f>
        <v>26342</v>
      </c>
      <c r="G18" s="149">
        <f>SUM(G19,G20)</f>
        <v>0</v>
      </c>
      <c r="H18" s="423">
        <f>SUM(H19,H20)</f>
        <v>0</v>
      </c>
    </row>
    <row r="19" spans="1:8" ht="25.15" customHeight="1">
      <c r="A19" s="156">
        <f>'40-41.各項費用彙計表(7級) '!B51</f>
        <v>1166</v>
      </c>
      <c r="B19" s="126">
        <f>'40-41.各項費用彙計表(7級) '!C51</f>
        <v>997</v>
      </c>
      <c r="C19" s="154" t="s">
        <v>568</v>
      </c>
      <c r="D19" s="674">
        <f t="shared" si="0"/>
        <v>1063</v>
      </c>
      <c r="E19" s="674">
        <f t="shared" si="1"/>
        <v>-103</v>
      </c>
      <c r="F19" s="126">
        <f>'40-41.各項費用彙計表(7級) '!G51</f>
        <v>1063</v>
      </c>
      <c r="G19" s="126">
        <f>'40-41.各項費用彙計表(7級) '!H51</f>
        <v>0</v>
      </c>
      <c r="H19" s="366">
        <f>'40-41.各項費用彙計表(7級) '!I51</f>
        <v>0</v>
      </c>
    </row>
    <row r="20" spans="1:8" ht="25.15" customHeight="1">
      <c r="A20" s="156">
        <f>'40-41.各項費用彙計表(7級) '!B54</f>
        <v>22420</v>
      </c>
      <c r="B20" s="126">
        <f>'40-41.各項費用彙計表(7級) '!C54</f>
        <v>21314</v>
      </c>
      <c r="C20" s="154" t="s">
        <v>10</v>
      </c>
      <c r="D20" s="674">
        <f t="shared" si="0"/>
        <v>25279</v>
      </c>
      <c r="E20" s="676">
        <f t="shared" si="1"/>
        <v>2859</v>
      </c>
      <c r="F20" s="126">
        <f>'40-41.各項費用彙計表(7級) '!G54</f>
        <v>25279</v>
      </c>
      <c r="G20" s="126">
        <f>'40-41.各項費用彙計表(7級) '!H54</f>
        <v>0</v>
      </c>
      <c r="H20" s="366">
        <f>'40-41.各項費用彙計表(7級) '!I54</f>
        <v>0</v>
      </c>
    </row>
    <row r="21" spans="1:8" s="74" customFormat="1" ht="25.15" customHeight="1">
      <c r="A21" s="369">
        <f>SUM(A22,A23,A24,A25,A26)-1</f>
        <v>14715</v>
      </c>
      <c r="B21" s="149">
        <f>SUM(B22,B23,B24,B25,B26)</f>
        <v>16236</v>
      </c>
      <c r="C21" s="49" t="s">
        <v>13</v>
      </c>
      <c r="D21" s="550">
        <f t="shared" si="0"/>
        <v>15339</v>
      </c>
      <c r="E21" s="550">
        <f t="shared" si="1"/>
        <v>624</v>
      </c>
      <c r="F21" s="149">
        <f>SUM(F22,F23,F24,F25,F26)</f>
        <v>15339</v>
      </c>
      <c r="G21" s="149">
        <f>SUM(G22,G23,G24,G25,G26)</f>
        <v>0</v>
      </c>
      <c r="H21" s="423">
        <f>SUM(H22,H23,H24,H25,H26)</f>
        <v>0</v>
      </c>
    </row>
    <row r="22" spans="1:8" ht="25.15" hidden="1" customHeight="1">
      <c r="A22" s="156">
        <f>'40-41.各項費用彙計表(7級) '!B62</f>
        <v>0</v>
      </c>
      <c r="B22" s="126">
        <f>'40-41.各項費用彙計表(7級) '!C62</f>
        <v>0</v>
      </c>
      <c r="C22" s="152" t="s">
        <v>569</v>
      </c>
      <c r="D22" s="550">
        <f t="shared" si="0"/>
        <v>0</v>
      </c>
      <c r="E22" s="550">
        <f t="shared" si="1"/>
        <v>0</v>
      </c>
      <c r="F22" s="126">
        <f>'40-41.各項費用彙計表(7級) '!G62</f>
        <v>0</v>
      </c>
      <c r="G22" s="126">
        <f>'40-41.各項費用彙計表(7級) '!H62</f>
        <v>0</v>
      </c>
      <c r="H22" s="366">
        <f>'40-41.各項費用彙計表(7級) '!I62</f>
        <v>0</v>
      </c>
    </row>
    <row r="23" spans="1:8" ht="25.15" customHeight="1">
      <c r="A23" s="156">
        <f>'40-41.各項費用彙計表(7級) '!B64</f>
        <v>1890</v>
      </c>
      <c r="B23" s="126">
        <f>'40-41.各項費用彙計表(7級) '!C64</f>
        <v>2089</v>
      </c>
      <c r="C23" s="152" t="s">
        <v>570</v>
      </c>
      <c r="D23" s="674">
        <f t="shared" si="0"/>
        <v>2006</v>
      </c>
      <c r="E23" s="674">
        <f t="shared" si="1"/>
        <v>116</v>
      </c>
      <c r="F23" s="126">
        <f>'40-41.各項費用彙計表(7級) '!G64</f>
        <v>2006</v>
      </c>
      <c r="G23" s="126">
        <f>'40-41.各項費用彙計表(7級) '!H64</f>
        <v>0</v>
      </c>
      <c r="H23" s="366">
        <f>'40-41.各項費用彙計表(7級) '!I64</f>
        <v>0</v>
      </c>
    </row>
    <row r="24" spans="1:8" ht="25.15" customHeight="1">
      <c r="A24" s="156">
        <f>'40-41.各項費用彙計表(7級) '!B66</f>
        <v>8811</v>
      </c>
      <c r="B24" s="126">
        <f>'40-41.各項費用彙計表(7級) '!C66</f>
        <v>9731</v>
      </c>
      <c r="C24" s="152" t="s">
        <v>571</v>
      </c>
      <c r="D24" s="674">
        <f t="shared" si="0"/>
        <v>9083</v>
      </c>
      <c r="E24" s="674">
        <f t="shared" si="1"/>
        <v>272</v>
      </c>
      <c r="F24" s="126">
        <f>'40-41.各項費用彙計表(7級) '!G66</f>
        <v>9083</v>
      </c>
      <c r="G24" s="126">
        <f>'40-41.各項費用彙計表(7級) '!H66</f>
        <v>0</v>
      </c>
      <c r="H24" s="366">
        <f>'40-41.各項費用彙計表(7級) '!I66</f>
        <v>0</v>
      </c>
    </row>
    <row r="25" spans="1:8" ht="25.15" customHeight="1">
      <c r="A25" s="156">
        <f>'40-41.各項費用彙計表(7級) '!B69</f>
        <v>3845</v>
      </c>
      <c r="B25" s="126">
        <f>'40-41.各項費用彙計表(7級) '!C69</f>
        <v>4248</v>
      </c>
      <c r="C25" s="152" t="s">
        <v>572</v>
      </c>
      <c r="D25" s="674">
        <f t="shared" si="0"/>
        <v>4077</v>
      </c>
      <c r="E25" s="674">
        <f t="shared" si="1"/>
        <v>232</v>
      </c>
      <c r="F25" s="126">
        <f>'40-41.各項費用彙計表(7級) '!G69</f>
        <v>4077</v>
      </c>
      <c r="G25" s="126">
        <f>'40-41.各項費用彙計表(7級) '!H69</f>
        <v>0</v>
      </c>
      <c r="H25" s="366">
        <f>'40-41.各項費用彙計表(7級) '!I69</f>
        <v>0</v>
      </c>
    </row>
    <row r="26" spans="1:8" ht="25.15" customHeight="1">
      <c r="A26" s="156">
        <f>'40-41.各項費用彙計表(7級) '!B71</f>
        <v>170</v>
      </c>
      <c r="B26" s="126">
        <f>'40-41.各項費用彙計表(7級) '!C71</f>
        <v>168</v>
      </c>
      <c r="C26" s="152" t="s">
        <v>573</v>
      </c>
      <c r="D26" s="674">
        <f t="shared" si="0"/>
        <v>173</v>
      </c>
      <c r="E26" s="674">
        <f t="shared" si="1"/>
        <v>3</v>
      </c>
      <c r="F26" s="126">
        <f>'40-41.各項費用彙計表(7級) '!G71</f>
        <v>173</v>
      </c>
      <c r="G26" s="126">
        <f>'40-41.各項費用彙計表(7級) '!H71</f>
        <v>0</v>
      </c>
      <c r="H26" s="366">
        <f>'40-41.各項費用彙計表(7級) '!I71</f>
        <v>0</v>
      </c>
    </row>
    <row r="27" spans="1:8" s="74" customFormat="1" ht="25.15" customHeight="1">
      <c r="A27" s="369">
        <f>A28+A29</f>
        <v>29288</v>
      </c>
      <c r="B27" s="149">
        <f>B28+B29</f>
        <v>34000</v>
      </c>
      <c r="C27" s="49" t="s">
        <v>574</v>
      </c>
      <c r="D27" s="550">
        <f t="shared" ref="D27:H27" si="2">D28+D29</f>
        <v>30000</v>
      </c>
      <c r="E27" s="550">
        <f t="shared" si="2"/>
        <v>712</v>
      </c>
      <c r="F27" s="149">
        <f t="shared" si="2"/>
        <v>30000</v>
      </c>
      <c r="G27" s="149">
        <f t="shared" si="2"/>
        <v>0</v>
      </c>
      <c r="H27" s="423">
        <f t="shared" si="2"/>
        <v>0</v>
      </c>
    </row>
    <row r="28" spans="1:8" ht="25.15" customHeight="1">
      <c r="A28" s="156">
        <f>'40-41.各項費用彙計表(7級) '!B74</f>
        <v>15778</v>
      </c>
      <c r="B28" s="126">
        <f>'40-41.各項費用彙計表(7級) '!C74</f>
        <v>19994</v>
      </c>
      <c r="C28" s="152" t="str">
        <f>'40-41.各項費用彙計表(7級) '!D74</f>
        <v xml:space="preserve">  不動產、廠房及設備折舊</v>
      </c>
      <c r="D28" s="674">
        <f>'40-41.各項費用彙計表(7級) '!E74</f>
        <v>15994</v>
      </c>
      <c r="E28" s="674">
        <f t="shared" si="1"/>
        <v>216</v>
      </c>
      <c r="F28" s="126">
        <f>'40-41.各項費用彙計表(7級) '!G74</f>
        <v>15994</v>
      </c>
      <c r="G28" s="126">
        <f>'40-41.各項費用彙計表(7級) '!H74</f>
        <v>0</v>
      </c>
      <c r="H28" s="366">
        <f>'40-41.各項費用彙計表(7級) '!I74</f>
        <v>0</v>
      </c>
    </row>
    <row r="29" spans="1:8" ht="25.15" customHeight="1">
      <c r="A29" s="156">
        <f>'40-41.各項費用彙計表(7級) '!B78</f>
        <v>13510</v>
      </c>
      <c r="B29" s="126">
        <f>'40-41.各項費用彙計表(7級) '!C78</f>
        <v>14006</v>
      </c>
      <c r="C29" s="152" t="s">
        <v>575</v>
      </c>
      <c r="D29" s="674">
        <f t="shared" si="0"/>
        <v>14006</v>
      </c>
      <c r="E29" s="676">
        <f t="shared" si="1"/>
        <v>496</v>
      </c>
      <c r="F29" s="126">
        <f>'40-41.各項費用彙計表(7級) '!G78</f>
        <v>14006</v>
      </c>
      <c r="G29" s="126">
        <f>'40-41.各項費用彙計表(7級) '!H78</f>
        <v>0</v>
      </c>
      <c r="H29" s="366">
        <f>'40-41.各項費用彙計表(7級) '!I78</f>
        <v>0</v>
      </c>
    </row>
    <row r="30" spans="1:8" s="74" customFormat="1" ht="25.15" customHeight="1">
      <c r="A30" s="369">
        <f>A31+A32+A33+A34</f>
        <v>3</v>
      </c>
      <c r="B30" s="149">
        <f>B32+B31+B33</f>
        <v>0</v>
      </c>
      <c r="C30" s="49" t="s">
        <v>937</v>
      </c>
      <c r="D30" s="550">
        <f t="shared" si="0"/>
        <v>0</v>
      </c>
      <c r="E30" s="550">
        <f t="shared" si="1"/>
        <v>-3</v>
      </c>
      <c r="F30" s="149">
        <f>F32+F31+F33</f>
        <v>0</v>
      </c>
      <c r="G30" s="149">
        <f>G32+G31+G33</f>
        <v>0</v>
      </c>
      <c r="H30" s="423">
        <f>H32+H31+H33</f>
        <v>0</v>
      </c>
    </row>
    <row r="31" spans="1:8" ht="25.15" hidden="1" customHeight="1">
      <c r="A31" s="156">
        <f>'40-41.各項費用彙計表(7級) '!B82</f>
        <v>0</v>
      </c>
      <c r="B31" s="126">
        <f>'40-41.各項費用彙計表(7級) '!C82</f>
        <v>0</v>
      </c>
      <c r="C31" s="152" t="s">
        <v>661</v>
      </c>
      <c r="D31" s="550">
        <f t="shared" si="0"/>
        <v>0</v>
      </c>
      <c r="E31" s="550">
        <f t="shared" si="1"/>
        <v>0</v>
      </c>
      <c r="F31" s="126">
        <f>'40-41.各項費用彙計表(7級) '!G82</f>
        <v>0</v>
      </c>
      <c r="G31" s="126">
        <f>'40-41.各項費用彙計表(7級) '!H82</f>
        <v>0</v>
      </c>
      <c r="H31" s="366">
        <f>'40-41.各項費用彙計表(7級) '!I82</f>
        <v>0</v>
      </c>
    </row>
    <row r="32" spans="1:8" ht="25.15" hidden="1" customHeight="1">
      <c r="A32" s="156">
        <f>'40-41.各項費用彙計表(7級) '!B84</f>
        <v>0</v>
      </c>
      <c r="B32" s="126">
        <f>'40-41.各項費用彙計表(7級) '!C84</f>
        <v>0</v>
      </c>
      <c r="C32" s="152" t="s">
        <v>576</v>
      </c>
      <c r="D32" s="550">
        <f t="shared" si="0"/>
        <v>0</v>
      </c>
      <c r="E32" s="550">
        <f t="shared" si="1"/>
        <v>0</v>
      </c>
      <c r="F32" s="126">
        <f>'40-41.各項費用彙計表(7級) '!G84</f>
        <v>0</v>
      </c>
      <c r="G32" s="126">
        <f>'40-41.各項費用彙計表(7級) '!H84</f>
        <v>0</v>
      </c>
      <c r="H32" s="366">
        <f>'40-41.各項費用彙計表(7級) '!I84</f>
        <v>0</v>
      </c>
    </row>
    <row r="33" spans="1:8" ht="25.15" hidden="1" customHeight="1">
      <c r="A33" s="156">
        <f>'40-41.各項費用彙計表(7級) '!B86</f>
        <v>0</v>
      </c>
      <c r="B33" s="126">
        <f>'40-41.各項費用彙計表(7級) '!C86</f>
        <v>0</v>
      </c>
      <c r="C33" s="152" t="s">
        <v>577</v>
      </c>
      <c r="D33" s="550">
        <f t="shared" si="0"/>
        <v>0</v>
      </c>
      <c r="E33" s="550">
        <f t="shared" si="1"/>
        <v>0</v>
      </c>
      <c r="F33" s="126">
        <f>'40-41.各項費用彙計表(7級) '!G86</f>
        <v>0</v>
      </c>
      <c r="G33" s="126">
        <f>'40-41.各項費用彙計表(7級) '!H86</f>
        <v>0</v>
      </c>
      <c r="H33" s="366">
        <f>'40-41.各項費用彙計表(7級) '!I86</f>
        <v>0</v>
      </c>
    </row>
    <row r="34" spans="1:8" ht="25.15" customHeight="1">
      <c r="A34" s="156">
        <f>'40-41.各項費用彙計表(7級) '!B87</f>
        <v>3</v>
      </c>
      <c r="B34" s="126">
        <v>0</v>
      </c>
      <c r="C34" s="152" t="s">
        <v>809</v>
      </c>
      <c r="D34" s="550">
        <f t="shared" si="0"/>
        <v>0</v>
      </c>
      <c r="E34" s="550">
        <f t="shared" si="1"/>
        <v>-3</v>
      </c>
      <c r="F34" s="126">
        <v>0</v>
      </c>
      <c r="G34" s="126">
        <v>0</v>
      </c>
      <c r="H34" s="366">
        <v>0</v>
      </c>
    </row>
    <row r="35" spans="1:8" ht="21" hidden="1" customHeight="1" thickBot="1">
      <c r="A35" s="418"/>
      <c r="B35" s="236"/>
      <c r="C35" s="607"/>
      <c r="D35" s="567"/>
      <c r="E35" s="567">
        <f t="shared" si="1"/>
        <v>0</v>
      </c>
      <c r="F35" s="236"/>
      <c r="G35" s="236"/>
      <c r="H35" s="394"/>
    </row>
    <row r="36" spans="1:8" s="74" customFormat="1" ht="35.25" hidden="1" customHeight="1">
      <c r="A36" s="671">
        <f>A37</f>
        <v>0</v>
      </c>
      <c r="B36" s="672">
        <f>B37</f>
        <v>0</v>
      </c>
      <c r="C36" s="617" t="s">
        <v>682</v>
      </c>
      <c r="D36" s="675">
        <f t="shared" si="0"/>
        <v>0</v>
      </c>
      <c r="E36" s="675">
        <f t="shared" si="1"/>
        <v>0</v>
      </c>
      <c r="F36" s="672">
        <f>F37</f>
        <v>0</v>
      </c>
      <c r="G36" s="618">
        <f>G37</f>
        <v>0</v>
      </c>
      <c r="H36" s="619">
        <f>H37</f>
        <v>0</v>
      </c>
    </row>
    <row r="37" spans="1:8" ht="25.15" hidden="1" customHeight="1">
      <c r="A37" s="156">
        <f>'40-41.各項費用彙計表(7級) '!B90</f>
        <v>0</v>
      </c>
      <c r="B37" s="126">
        <f>'40-41.各項費用彙計表(7級) '!C90</f>
        <v>0</v>
      </c>
      <c r="C37" s="152" t="s">
        <v>683</v>
      </c>
      <c r="D37" s="674">
        <f t="shared" si="0"/>
        <v>0</v>
      </c>
      <c r="E37" s="674">
        <f t="shared" si="1"/>
        <v>0</v>
      </c>
      <c r="F37" s="126">
        <f>'40-41.各項費用彙計表(7級) '!G90</f>
        <v>0</v>
      </c>
      <c r="G37" s="126">
        <f>'40-41.各項費用彙計表(7級) '!H90</f>
        <v>0</v>
      </c>
      <c r="H37" s="366">
        <f>'40-41.各項費用彙計表(7級) '!I90</f>
        <v>0</v>
      </c>
    </row>
    <row r="38" spans="1:8" ht="25.15" hidden="1" customHeight="1">
      <c r="A38" s="369">
        <f>'40-41.各項費用彙計表(7級) '!B92</f>
        <v>0</v>
      </c>
      <c r="B38" s="126">
        <f>'40-41.各項費用彙計表(7級) '!C92</f>
        <v>0</v>
      </c>
      <c r="C38" s="49" t="s">
        <v>659</v>
      </c>
      <c r="D38" s="550">
        <f t="shared" si="0"/>
        <v>0</v>
      </c>
      <c r="E38" s="550">
        <f t="shared" si="1"/>
        <v>0</v>
      </c>
      <c r="F38" s="126">
        <f>'40-41.各項費用彙計表(7級) '!G92</f>
        <v>0</v>
      </c>
      <c r="G38" s="126">
        <f>'40-41.各項費用彙計表(7級) '!H92</f>
        <v>0</v>
      </c>
      <c r="H38" s="366">
        <f>'40-41.各項費用彙計表(7級) '!I92</f>
        <v>0</v>
      </c>
    </row>
    <row r="39" spans="1:8" ht="25.15" hidden="1" customHeight="1">
      <c r="A39" s="156">
        <f>'40-41.各項費用彙計表(7級) '!B93</f>
        <v>0</v>
      </c>
      <c r="B39" s="126">
        <f>'40-41.各項費用彙計表(7級) '!C93</f>
        <v>0</v>
      </c>
      <c r="C39" s="152" t="s">
        <v>660</v>
      </c>
      <c r="D39" s="550">
        <f t="shared" si="0"/>
        <v>0</v>
      </c>
      <c r="E39" s="550">
        <f t="shared" si="1"/>
        <v>0</v>
      </c>
      <c r="F39" s="126">
        <f>'40-41.各項費用彙計表(7級) '!G93</f>
        <v>0</v>
      </c>
      <c r="G39" s="126">
        <f>'40-41.各項費用彙計表(7級) '!H93</f>
        <v>0</v>
      </c>
      <c r="H39" s="366">
        <f>'40-41.各項費用彙計表(7級) '!I93</f>
        <v>0</v>
      </c>
    </row>
    <row r="40" spans="1:8" s="74" customFormat="1" ht="25.15" customHeight="1">
      <c r="A40" s="369">
        <f>A41</f>
        <v>26</v>
      </c>
      <c r="B40" s="149">
        <f>B41</f>
        <v>14</v>
      </c>
      <c r="C40" s="49" t="s">
        <v>578</v>
      </c>
      <c r="D40" s="550">
        <f t="shared" si="0"/>
        <v>50</v>
      </c>
      <c r="E40" s="550">
        <f t="shared" si="1"/>
        <v>24</v>
      </c>
      <c r="F40" s="126">
        <f>F41</f>
        <v>0</v>
      </c>
      <c r="G40" s="126">
        <f>G41</f>
        <v>0</v>
      </c>
      <c r="H40" s="423">
        <f>H41</f>
        <v>50</v>
      </c>
    </row>
    <row r="41" spans="1:8" ht="25.15" customHeight="1">
      <c r="A41" s="156">
        <f>'40-41.各項費用彙計表(7級) '!B96</f>
        <v>26</v>
      </c>
      <c r="B41" s="126">
        <f>'40-41.各項費用彙計表(7級) '!C96</f>
        <v>14</v>
      </c>
      <c r="C41" s="152" t="s">
        <v>579</v>
      </c>
      <c r="D41" s="674">
        <f t="shared" si="0"/>
        <v>50</v>
      </c>
      <c r="E41" s="674">
        <f t="shared" si="1"/>
        <v>24</v>
      </c>
      <c r="F41" s="126">
        <f>'40-41.各項費用彙計表(7級) '!G96</f>
        <v>0</v>
      </c>
      <c r="G41" s="126">
        <f>'40-41.各項費用彙計表(7級) '!H96</f>
        <v>0</v>
      </c>
      <c r="H41" s="366">
        <f>'40-41.各項費用彙計表(7級) '!I96</f>
        <v>50</v>
      </c>
    </row>
    <row r="42" spans="1:8" ht="25.15" hidden="1" customHeight="1">
      <c r="A42" s="156"/>
      <c r="B42" s="126"/>
      <c r="C42" s="152"/>
      <c r="D42" s="550"/>
      <c r="E42" s="550">
        <f t="shared" si="1"/>
        <v>0</v>
      </c>
      <c r="F42" s="126"/>
      <c r="G42" s="126"/>
      <c r="H42" s="366"/>
    </row>
    <row r="43" spans="1:8" ht="25.15" hidden="1" customHeight="1">
      <c r="A43" s="156"/>
      <c r="B43" s="126"/>
      <c r="C43" s="152"/>
      <c r="D43" s="550"/>
      <c r="E43" s="550"/>
      <c r="F43" s="126"/>
      <c r="G43" s="126"/>
      <c r="H43" s="366"/>
    </row>
    <row r="44" spans="1:8" s="74" customFormat="1" ht="35.450000000000003" customHeight="1" thickBot="1">
      <c r="A44" s="668">
        <f>SUM(A8+A18+A21+A27+A30+A36+A40+A38)+1</f>
        <v>573265</v>
      </c>
      <c r="B44" s="621">
        <f>SUM(B8+B18+B21+B27+B30+B36+B40)</f>
        <v>604841</v>
      </c>
      <c r="C44" s="620" t="s">
        <v>1023</v>
      </c>
      <c r="D44" s="621">
        <f t="shared" si="0"/>
        <v>601464</v>
      </c>
      <c r="E44" s="621"/>
      <c r="F44" s="622">
        <f>SUM(F8,F18,F21,F27,F30,F36,F40)</f>
        <v>601414</v>
      </c>
      <c r="G44" s="622">
        <f>SUM(G8,G18,G21,G27,G30,G36,G40)</f>
        <v>0</v>
      </c>
      <c r="H44" s="623">
        <f>SUM(H8,H18,H21,H27,H30,H36,H40)</f>
        <v>50</v>
      </c>
    </row>
  </sheetData>
  <mergeCells count="9">
    <mergeCell ref="A1:H1"/>
    <mergeCell ref="A2:H2"/>
    <mergeCell ref="A3:H3"/>
    <mergeCell ref="A4:H4"/>
    <mergeCell ref="B6:B7"/>
    <mergeCell ref="A6:A7"/>
    <mergeCell ref="C6:C7"/>
    <mergeCell ref="D6:H6"/>
    <mergeCell ref="A5:H5"/>
  </mergeCells>
  <phoneticPr fontId="2" type="noConversion"/>
  <printOptions horizontalCentered="1"/>
  <pageMargins left="0.6692913385826772" right="0.6692913385826772" top="0.59055118110236227" bottom="0.78740157480314965" header="0.70866141732283472" footer="0.51181102362204722"/>
  <pageSetup paperSize="9" scale="93" firstPageNumber="40" orientation="portrait" blackAndWhite="1" useFirstPageNumber="1" r:id="rId1"/>
  <headerFooter scaleWithDoc="0" alignWithMargins="0">
    <oddFooter>&amp;C&amp;"Arial Unicode MS,標準"&amp;P</oddFooter>
  </headerFooter>
</worksheet>
</file>

<file path=xl/worksheets/sheet45.xml><?xml version="1.0" encoding="utf-8"?>
<worksheet xmlns="http://schemas.openxmlformats.org/spreadsheetml/2006/main" xmlns:r="http://schemas.openxmlformats.org/officeDocument/2006/relationships">
  <sheetPr codeName="Sheet43" enableFormatConditionsCalculation="0">
    <tabColor indexed="42"/>
  </sheetPr>
  <dimension ref="A1:K105"/>
  <sheetViews>
    <sheetView view="pageBreakPreview" topLeftCell="A12" zoomScale="80" zoomScaleNormal="100" zoomScaleSheetLayoutView="80" workbookViewId="0">
      <selection activeCell="G55" sqref="G55"/>
    </sheetView>
  </sheetViews>
  <sheetFormatPr defaultColWidth="9" defaultRowHeight="16.5"/>
  <cols>
    <col min="1" max="1" width="13.375" style="64" customWidth="1"/>
    <col min="2" max="2" width="13.375" style="64" bestFit="1" customWidth="1"/>
    <col min="3" max="3" width="12.75" style="64" bestFit="1" customWidth="1"/>
    <col min="4" max="4" width="41.125" style="64" customWidth="1"/>
    <col min="5" max="5" width="12.75" style="64" bestFit="1" customWidth="1"/>
    <col min="6" max="6" width="12.75" style="64" hidden="1" customWidth="1"/>
    <col min="7" max="7" width="12.75" style="64" bestFit="1" customWidth="1"/>
    <col min="8" max="8" width="11.125" style="64" hidden="1" customWidth="1"/>
    <col min="9" max="9" width="12" style="64" customWidth="1"/>
    <col min="10" max="10" width="13.5" style="64" customWidth="1"/>
    <col min="11" max="11" width="10.5" style="64" bestFit="1" customWidth="1"/>
    <col min="12" max="16384" width="9" style="64"/>
  </cols>
  <sheetData>
    <row r="1" spans="1:11" ht="25.5">
      <c r="B1" s="1108" t="s">
        <v>144</v>
      </c>
      <c r="C1" s="1298"/>
      <c r="D1" s="1298"/>
      <c r="E1" s="1298"/>
      <c r="F1" s="1298"/>
      <c r="G1" s="1298"/>
      <c r="H1" s="1298"/>
      <c r="I1" s="1298"/>
    </row>
    <row r="2" spans="1:11" ht="21">
      <c r="B2" s="1109" t="s">
        <v>145</v>
      </c>
      <c r="C2" s="1299"/>
      <c r="D2" s="1299"/>
      <c r="E2" s="1299"/>
      <c r="F2" s="1299"/>
      <c r="G2" s="1299"/>
      <c r="H2" s="1299"/>
      <c r="I2" s="1299"/>
    </row>
    <row r="3" spans="1:11" ht="21">
      <c r="B3" s="1110" t="s">
        <v>130</v>
      </c>
      <c r="C3" s="1299"/>
      <c r="D3" s="1299"/>
      <c r="E3" s="1299"/>
      <c r="F3" s="1299"/>
      <c r="G3" s="1299"/>
      <c r="H3" s="1299"/>
      <c r="I3" s="1299"/>
    </row>
    <row r="4" spans="1:11" s="680" customFormat="1" ht="19.5">
      <c r="B4" s="1111" t="s">
        <v>1054</v>
      </c>
      <c r="C4" s="1111"/>
      <c r="D4" s="1111"/>
      <c r="E4" s="1111"/>
      <c r="F4" s="1111"/>
      <c r="G4" s="1111"/>
      <c r="H4" s="1111"/>
      <c r="I4" s="1111"/>
    </row>
    <row r="5" spans="1:11" s="29" customFormat="1" ht="17.25" thickBot="1">
      <c r="B5" s="1304" t="s">
        <v>626</v>
      </c>
      <c r="C5" s="1304"/>
      <c r="D5" s="1304"/>
      <c r="E5" s="1304"/>
      <c r="F5" s="1304"/>
      <c r="G5" s="1304"/>
      <c r="H5" s="1304"/>
      <c r="I5" s="1304"/>
    </row>
    <row r="6" spans="1:11" ht="23.25" customHeight="1">
      <c r="B6" s="1302" t="s">
        <v>61</v>
      </c>
      <c r="C6" s="1300" t="s">
        <v>675</v>
      </c>
      <c r="D6" s="1092" t="s">
        <v>58</v>
      </c>
      <c r="E6" s="1092" t="s">
        <v>807</v>
      </c>
      <c r="F6" s="1092"/>
      <c r="G6" s="1305"/>
      <c r="H6" s="1305"/>
      <c r="I6" s="1306"/>
    </row>
    <row r="7" spans="1:11" ht="46.5" customHeight="1">
      <c r="B7" s="1303"/>
      <c r="C7" s="1301"/>
      <c r="D7" s="1301"/>
      <c r="E7" s="681" t="s">
        <v>797</v>
      </c>
      <c r="F7" s="681"/>
      <c r="G7" s="681" t="s">
        <v>798</v>
      </c>
      <c r="H7" s="681" t="s">
        <v>77</v>
      </c>
      <c r="I7" s="682" t="s">
        <v>799</v>
      </c>
    </row>
    <row r="8" spans="1:11" s="683" customFormat="1" ht="22.5" customHeight="1">
      <c r="A8" s="369">
        <f>SUM(A9,A13,A17,A21,A25,A30,A33,A38,A48)</f>
        <v>507355</v>
      </c>
      <c r="B8" s="757">
        <f>SUM(B9,B13,B17,B21,B25,B30,B33,B38,B48)+1</f>
        <v>505646</v>
      </c>
      <c r="C8" s="686">
        <f>SUM(C9,C13,C17,C21,C25,C30,C33,C38,C48)</f>
        <v>532280</v>
      </c>
      <c r="D8" s="49" t="s">
        <v>297</v>
      </c>
      <c r="E8" s="550">
        <f>G8+H8+I8</f>
        <v>529733</v>
      </c>
      <c r="F8" s="550">
        <f>E8-B8</f>
        <v>24087</v>
      </c>
      <c r="G8" s="686">
        <f>SUM(G9,G13,G17,G21,G25,G30,G33,G38,G48)</f>
        <v>529733</v>
      </c>
      <c r="H8" s="149">
        <f>SUM(H9,H13,H17,H21,H25,H30,H33,H38,H48)</f>
        <v>0</v>
      </c>
      <c r="I8" s="752">
        <f>SUM(I9,I13,I17,I21,I25,I30,I33,I38,I48)</f>
        <v>0</v>
      </c>
      <c r="J8" s="690">
        <f>E8-C8</f>
        <v>-2547</v>
      </c>
      <c r="K8" s="690">
        <f>E8-B8</f>
        <v>24087</v>
      </c>
    </row>
    <row r="9" spans="1:11" ht="22.5" customHeight="1">
      <c r="A9" s="156">
        <f>SUM(A10:A12)</f>
        <v>11245</v>
      </c>
      <c r="B9" s="679">
        <f>SUM(B10:B12)-1</f>
        <v>10991</v>
      </c>
      <c r="C9" s="594">
        <f>SUM(C10:C12)</f>
        <v>12000</v>
      </c>
      <c r="D9" s="152" t="s">
        <v>141</v>
      </c>
      <c r="E9" s="550">
        <f t="shared" ref="E9:E72" si="0">G9+H9+I9</f>
        <v>12000</v>
      </c>
      <c r="F9" s="550">
        <f t="shared" ref="F9:F73" si="1">E9-B9</f>
        <v>1009</v>
      </c>
      <c r="G9" s="594">
        <f>SUM(G10:G12)</f>
        <v>12000</v>
      </c>
      <c r="H9" s="126">
        <f t="shared" ref="H9:I9" si="2">SUM(H10:H12)</f>
        <v>0</v>
      </c>
      <c r="I9" s="753">
        <f t="shared" si="2"/>
        <v>0</v>
      </c>
      <c r="J9" s="690">
        <f t="shared" ref="J9:J73" si="3">E9-C9</f>
        <v>0</v>
      </c>
      <c r="K9" s="690">
        <f t="shared" ref="K9:K73" si="4">E9-B9</f>
        <v>1009</v>
      </c>
    </row>
    <row r="10" spans="1:11" s="29" customFormat="1" ht="22.5" customHeight="1">
      <c r="A10" s="156">
        <v>10823</v>
      </c>
      <c r="B10" s="679">
        <v>10566</v>
      </c>
      <c r="C10" s="594">
        <v>11550</v>
      </c>
      <c r="D10" s="235" t="s">
        <v>142</v>
      </c>
      <c r="E10" s="550">
        <f t="shared" si="0"/>
        <v>11550</v>
      </c>
      <c r="F10" s="550">
        <f t="shared" si="1"/>
        <v>984</v>
      </c>
      <c r="G10" s="594">
        <f>'21-22.勞務成本明細7級'!G11</f>
        <v>11550</v>
      </c>
      <c r="H10" s="126">
        <v>0</v>
      </c>
      <c r="I10" s="753">
        <v>0</v>
      </c>
      <c r="J10" s="690">
        <f t="shared" si="3"/>
        <v>0</v>
      </c>
      <c r="K10" s="690">
        <f t="shared" si="4"/>
        <v>984</v>
      </c>
    </row>
    <row r="11" spans="1:11" s="29" customFormat="1" ht="22.5" customHeight="1">
      <c r="A11" s="156">
        <v>340</v>
      </c>
      <c r="B11" s="679">
        <v>344</v>
      </c>
      <c r="C11" s="594">
        <v>368</v>
      </c>
      <c r="D11" s="235" t="s">
        <v>143</v>
      </c>
      <c r="E11" s="550">
        <f t="shared" si="0"/>
        <v>368</v>
      </c>
      <c r="F11" s="550">
        <f t="shared" si="1"/>
        <v>24</v>
      </c>
      <c r="G11" s="594">
        <f>'21-22.勞務成本明細7級'!G12</f>
        <v>368</v>
      </c>
      <c r="H11" s="126">
        <v>0</v>
      </c>
      <c r="I11" s="753">
        <v>0</v>
      </c>
      <c r="J11" s="690">
        <f t="shared" si="3"/>
        <v>0</v>
      </c>
      <c r="K11" s="690">
        <f t="shared" si="4"/>
        <v>24</v>
      </c>
    </row>
    <row r="12" spans="1:11" ht="22.5" customHeight="1">
      <c r="A12" s="156">
        <v>82</v>
      </c>
      <c r="B12" s="679">
        <v>82</v>
      </c>
      <c r="C12" s="594">
        <v>82</v>
      </c>
      <c r="D12" s="235" t="s">
        <v>380</v>
      </c>
      <c r="E12" s="550">
        <f t="shared" si="0"/>
        <v>82</v>
      </c>
      <c r="F12" s="550">
        <f t="shared" si="1"/>
        <v>0</v>
      </c>
      <c r="G12" s="594">
        <f>'21-22.勞務成本明細7級'!G13</f>
        <v>82</v>
      </c>
      <c r="H12" s="126">
        <v>0</v>
      </c>
      <c r="I12" s="753">
        <v>0</v>
      </c>
      <c r="J12" s="690">
        <f t="shared" si="3"/>
        <v>0</v>
      </c>
      <c r="K12" s="690">
        <f t="shared" si="4"/>
        <v>0</v>
      </c>
    </row>
    <row r="13" spans="1:11" ht="22.5" customHeight="1">
      <c r="A13" s="156">
        <f>SUM(A14:A16)</f>
        <v>15850</v>
      </c>
      <c r="B13" s="679">
        <f>SUM(B14:B16)</f>
        <v>9225</v>
      </c>
      <c r="C13" s="594">
        <f>SUM(C14:C16)</f>
        <v>18013</v>
      </c>
      <c r="D13" s="152" t="s">
        <v>92</v>
      </c>
      <c r="E13" s="550">
        <f t="shared" si="0"/>
        <v>11463</v>
      </c>
      <c r="F13" s="550">
        <f t="shared" si="1"/>
        <v>2238</v>
      </c>
      <c r="G13" s="594">
        <f>SUM(G14:G16)</f>
        <v>11463</v>
      </c>
      <c r="H13" s="126">
        <f t="shared" ref="H13:I13" si="5">SUM(H14:H16)</f>
        <v>0</v>
      </c>
      <c r="I13" s="753">
        <f t="shared" si="5"/>
        <v>0</v>
      </c>
      <c r="J13" s="690">
        <f t="shared" si="3"/>
        <v>-6550</v>
      </c>
      <c r="K13" s="690">
        <f t="shared" si="4"/>
        <v>2238</v>
      </c>
    </row>
    <row r="14" spans="1:11" ht="22.5" customHeight="1">
      <c r="A14" s="156">
        <v>11189</v>
      </c>
      <c r="B14" s="679">
        <f>4380+64</f>
        <v>4444</v>
      </c>
      <c r="C14" s="594">
        <v>11420</v>
      </c>
      <c r="D14" s="235" t="s">
        <v>381</v>
      </c>
      <c r="E14" s="550">
        <f t="shared" si="0"/>
        <v>4939</v>
      </c>
      <c r="F14" s="550">
        <f t="shared" si="1"/>
        <v>495</v>
      </c>
      <c r="G14" s="594">
        <f>'21-22.勞務成本明細7級'!G15</f>
        <v>4939</v>
      </c>
      <c r="H14" s="126">
        <v>0</v>
      </c>
      <c r="I14" s="753">
        <v>0</v>
      </c>
      <c r="J14" s="690">
        <f t="shared" si="3"/>
        <v>-6481</v>
      </c>
      <c r="K14" s="690">
        <f t="shared" si="4"/>
        <v>495</v>
      </c>
    </row>
    <row r="15" spans="1:11" ht="22.5" customHeight="1">
      <c r="A15" s="156">
        <v>1399</v>
      </c>
      <c r="B15" s="679">
        <v>1653</v>
      </c>
      <c r="C15" s="594">
        <v>2744</v>
      </c>
      <c r="D15" s="235" t="s">
        <v>382</v>
      </c>
      <c r="E15" s="550">
        <f t="shared" si="0"/>
        <v>2683</v>
      </c>
      <c r="F15" s="550">
        <f t="shared" si="1"/>
        <v>1030</v>
      </c>
      <c r="G15" s="594">
        <f>'21-22.勞務成本明細7級'!G16</f>
        <v>2683</v>
      </c>
      <c r="H15" s="126"/>
      <c r="I15" s="753">
        <v>0</v>
      </c>
      <c r="J15" s="690">
        <f t="shared" si="3"/>
        <v>-61</v>
      </c>
      <c r="K15" s="690">
        <f t="shared" si="4"/>
        <v>1030</v>
      </c>
    </row>
    <row r="16" spans="1:11" ht="22.5" customHeight="1">
      <c r="A16" s="156">
        <v>3262</v>
      </c>
      <c r="B16" s="679">
        <v>3128</v>
      </c>
      <c r="C16" s="594">
        <v>3849</v>
      </c>
      <c r="D16" s="235" t="s">
        <v>383</v>
      </c>
      <c r="E16" s="550">
        <f t="shared" si="0"/>
        <v>3841</v>
      </c>
      <c r="F16" s="550">
        <f t="shared" si="1"/>
        <v>713</v>
      </c>
      <c r="G16" s="594">
        <f>'21-22.勞務成本明細7級'!G17</f>
        <v>3841</v>
      </c>
      <c r="H16" s="126"/>
      <c r="I16" s="753">
        <v>0</v>
      </c>
      <c r="J16" s="690">
        <f t="shared" si="3"/>
        <v>-8</v>
      </c>
      <c r="K16" s="690">
        <f t="shared" si="4"/>
        <v>713</v>
      </c>
    </row>
    <row r="17" spans="1:11" ht="22.5" customHeight="1">
      <c r="A17" s="156">
        <f>SUM(A18:A20)</f>
        <v>4719</v>
      </c>
      <c r="B17" s="679">
        <f>SUM(B18:B20)-1</f>
        <v>4515</v>
      </c>
      <c r="C17" s="594">
        <f>SUM(C18:C20)</f>
        <v>5027</v>
      </c>
      <c r="D17" s="152" t="s">
        <v>279</v>
      </c>
      <c r="E17" s="550">
        <f t="shared" si="0"/>
        <v>5024</v>
      </c>
      <c r="F17" s="550">
        <f t="shared" si="1"/>
        <v>509</v>
      </c>
      <c r="G17" s="594">
        <f>SUM(G18:G20)</f>
        <v>5024</v>
      </c>
      <c r="H17" s="126">
        <f t="shared" ref="H17:I17" si="6">SUM(H18:H20)</f>
        <v>0</v>
      </c>
      <c r="I17" s="753">
        <f t="shared" si="6"/>
        <v>0</v>
      </c>
      <c r="J17" s="690">
        <f t="shared" si="3"/>
        <v>-3</v>
      </c>
      <c r="K17" s="690">
        <f t="shared" si="4"/>
        <v>509</v>
      </c>
    </row>
    <row r="18" spans="1:11" ht="22.5" customHeight="1">
      <c r="A18" s="156">
        <v>3550</v>
      </c>
      <c r="B18" s="679">
        <v>3119</v>
      </c>
      <c r="C18" s="594">
        <v>3467</v>
      </c>
      <c r="D18" s="235" t="s">
        <v>93</v>
      </c>
      <c r="E18" s="550">
        <f t="shared" si="0"/>
        <v>3467</v>
      </c>
      <c r="F18" s="550">
        <f t="shared" si="1"/>
        <v>348</v>
      </c>
      <c r="G18" s="594">
        <f>'21-22.勞務成本明細7級'!G19</f>
        <v>3467</v>
      </c>
      <c r="H18" s="126">
        <v>0</v>
      </c>
      <c r="I18" s="753">
        <v>0</v>
      </c>
      <c r="J18" s="690">
        <f t="shared" si="3"/>
        <v>0</v>
      </c>
      <c r="K18" s="690">
        <f t="shared" si="4"/>
        <v>348</v>
      </c>
    </row>
    <row r="19" spans="1:11" ht="22.5" customHeight="1">
      <c r="A19" s="156">
        <v>1162</v>
      </c>
      <c r="B19" s="679">
        <v>1391</v>
      </c>
      <c r="C19" s="594">
        <v>1160</v>
      </c>
      <c r="D19" s="235" t="s">
        <v>384</v>
      </c>
      <c r="E19" s="550">
        <f t="shared" si="0"/>
        <v>1509</v>
      </c>
      <c r="F19" s="550">
        <f t="shared" si="1"/>
        <v>118</v>
      </c>
      <c r="G19" s="594">
        <f>'21-22.勞務成本明細7級'!G20</f>
        <v>1509</v>
      </c>
      <c r="H19" s="126">
        <v>0</v>
      </c>
      <c r="I19" s="753">
        <v>0</v>
      </c>
      <c r="J19" s="690">
        <f t="shared" si="3"/>
        <v>349</v>
      </c>
      <c r="K19" s="690">
        <f t="shared" si="4"/>
        <v>118</v>
      </c>
    </row>
    <row r="20" spans="1:11" ht="22.5" customHeight="1">
      <c r="A20" s="156">
        <v>7</v>
      </c>
      <c r="B20" s="679">
        <v>6</v>
      </c>
      <c r="C20" s="594">
        <v>400</v>
      </c>
      <c r="D20" s="235" t="s">
        <v>385</v>
      </c>
      <c r="E20" s="550">
        <f t="shared" si="0"/>
        <v>48</v>
      </c>
      <c r="F20" s="550">
        <f t="shared" si="1"/>
        <v>42</v>
      </c>
      <c r="G20" s="594">
        <f>'21-22.勞務成本明細7級'!G21</f>
        <v>48</v>
      </c>
      <c r="H20" s="126">
        <v>0</v>
      </c>
      <c r="I20" s="753">
        <v>0</v>
      </c>
      <c r="J20" s="690">
        <f t="shared" si="3"/>
        <v>-352</v>
      </c>
      <c r="K20" s="690">
        <f t="shared" si="4"/>
        <v>42</v>
      </c>
    </row>
    <row r="21" spans="1:11" s="29" customFormat="1" ht="22.5" customHeight="1">
      <c r="A21" s="156">
        <f>SUM(A22:A24)</f>
        <v>10927</v>
      </c>
      <c r="B21" s="679">
        <f>SUM(B22:B24)-1</f>
        <v>10889</v>
      </c>
      <c r="C21" s="594">
        <f>SUM(C22:C24)</f>
        <v>10793</v>
      </c>
      <c r="D21" s="152" t="s">
        <v>94</v>
      </c>
      <c r="E21" s="550">
        <f t="shared" si="0"/>
        <v>10951</v>
      </c>
      <c r="F21" s="550">
        <f t="shared" si="1"/>
        <v>62</v>
      </c>
      <c r="G21" s="594">
        <f>SUM(G22:G24)</f>
        <v>10951</v>
      </c>
      <c r="H21" s="126">
        <f>SUM(H22:H24)</f>
        <v>0</v>
      </c>
      <c r="I21" s="753">
        <f>SUM(I22:I24)</f>
        <v>0</v>
      </c>
      <c r="J21" s="690">
        <f t="shared" si="3"/>
        <v>158</v>
      </c>
      <c r="K21" s="690">
        <f t="shared" si="4"/>
        <v>62</v>
      </c>
    </row>
    <row r="22" spans="1:11" s="29" customFormat="1" ht="22.5" customHeight="1">
      <c r="A22" s="156">
        <v>10290</v>
      </c>
      <c r="B22" s="679">
        <v>10128</v>
      </c>
      <c r="C22" s="594">
        <v>10043</v>
      </c>
      <c r="D22" s="235" t="s">
        <v>95</v>
      </c>
      <c r="E22" s="953">
        <f t="shared" si="0"/>
        <v>10201</v>
      </c>
      <c r="F22" s="550">
        <f t="shared" si="1"/>
        <v>73</v>
      </c>
      <c r="G22" s="594">
        <f>'21-22.勞務成本明細7級'!G23</f>
        <v>10201</v>
      </c>
      <c r="H22" s="126">
        <v>0</v>
      </c>
      <c r="I22" s="753">
        <v>0</v>
      </c>
      <c r="J22" s="690">
        <f t="shared" si="3"/>
        <v>158</v>
      </c>
      <c r="K22" s="690">
        <f t="shared" si="4"/>
        <v>73</v>
      </c>
    </row>
    <row r="23" spans="1:11" s="29" customFormat="1" ht="22.5" customHeight="1">
      <c r="A23" s="156">
        <v>608</v>
      </c>
      <c r="B23" s="679">
        <v>754</v>
      </c>
      <c r="C23" s="594">
        <v>750</v>
      </c>
      <c r="D23" s="235" t="s">
        <v>386</v>
      </c>
      <c r="E23" s="550">
        <f>G23+H23+I23</f>
        <v>750</v>
      </c>
      <c r="F23" s="550">
        <f>E23-B23</f>
        <v>-4</v>
      </c>
      <c r="G23" s="594">
        <f>'21-22.勞務成本明細7級'!G24</f>
        <v>750</v>
      </c>
      <c r="H23" s="126">
        <v>0</v>
      </c>
      <c r="I23" s="753">
        <v>0</v>
      </c>
      <c r="J23" s="690">
        <f>E23-C23</f>
        <v>0</v>
      </c>
      <c r="K23" s="690">
        <f>E23-B23</f>
        <v>-4</v>
      </c>
    </row>
    <row r="24" spans="1:11" s="29" customFormat="1" ht="22.5" customHeight="1">
      <c r="A24" s="156">
        <v>29</v>
      </c>
      <c r="B24" s="679">
        <v>8</v>
      </c>
      <c r="C24" s="594">
        <v>0</v>
      </c>
      <c r="D24" s="235" t="s">
        <v>627</v>
      </c>
      <c r="E24" s="550">
        <f t="shared" si="0"/>
        <v>0</v>
      </c>
      <c r="F24" s="550">
        <f t="shared" si="1"/>
        <v>-8</v>
      </c>
      <c r="G24" s="594">
        <f>'21-22.勞務成本明細7級'!G25</f>
        <v>0</v>
      </c>
      <c r="H24" s="126">
        <v>0</v>
      </c>
      <c r="I24" s="753">
        <v>0</v>
      </c>
      <c r="J24" s="690">
        <f t="shared" si="3"/>
        <v>0</v>
      </c>
      <c r="K24" s="690">
        <f t="shared" si="4"/>
        <v>-8</v>
      </c>
    </row>
    <row r="25" spans="1:11" s="29" customFormat="1" ht="22.5" customHeight="1">
      <c r="A25" s="156">
        <f>SUM(A26:A29)</f>
        <v>17969</v>
      </c>
      <c r="B25" s="679">
        <f>SUM(B26:B29)</f>
        <v>15550</v>
      </c>
      <c r="C25" s="594">
        <f>SUM(C26:C29)</f>
        <v>16602</v>
      </c>
      <c r="D25" s="152" t="s">
        <v>298</v>
      </c>
      <c r="E25" s="550">
        <f t="shared" si="0"/>
        <v>9639</v>
      </c>
      <c r="F25" s="550">
        <f t="shared" si="1"/>
        <v>-5911</v>
      </c>
      <c r="G25" s="594">
        <f>SUM(G26:G29)</f>
        <v>9639</v>
      </c>
      <c r="H25" s="126">
        <f t="shared" ref="H25:I25" si="7">SUM(H26:H29)</f>
        <v>0</v>
      </c>
      <c r="I25" s="753">
        <f t="shared" si="7"/>
        <v>0</v>
      </c>
      <c r="J25" s="690">
        <f t="shared" si="3"/>
        <v>-6963</v>
      </c>
      <c r="K25" s="690">
        <f t="shared" si="4"/>
        <v>-5911</v>
      </c>
    </row>
    <row r="26" spans="1:11" s="29" customFormat="1" ht="22.5" customHeight="1">
      <c r="A26" s="156">
        <v>7115</v>
      </c>
      <c r="B26" s="679">
        <v>7396</v>
      </c>
      <c r="C26" s="594">
        <v>10484</v>
      </c>
      <c r="D26" s="235" t="s">
        <v>387</v>
      </c>
      <c r="E26" s="550">
        <f t="shared" si="0"/>
        <v>3763</v>
      </c>
      <c r="F26" s="550">
        <f t="shared" si="1"/>
        <v>-3633</v>
      </c>
      <c r="G26" s="594">
        <f>'21-22.勞務成本明細7級'!G27</f>
        <v>3763</v>
      </c>
      <c r="H26" s="126">
        <v>0</v>
      </c>
      <c r="I26" s="753">
        <v>0</v>
      </c>
      <c r="J26" s="690">
        <f t="shared" si="3"/>
        <v>-6721</v>
      </c>
      <c r="K26" s="690">
        <f t="shared" si="4"/>
        <v>-3633</v>
      </c>
    </row>
    <row r="27" spans="1:11" s="29" customFormat="1" ht="22.5" customHeight="1">
      <c r="A27" s="156">
        <v>10001</v>
      </c>
      <c r="B27" s="679">
        <v>7002</v>
      </c>
      <c r="C27" s="594">
        <v>5286</v>
      </c>
      <c r="D27" s="235" t="s">
        <v>388</v>
      </c>
      <c r="E27" s="550">
        <f t="shared" si="0"/>
        <v>4777</v>
      </c>
      <c r="F27" s="550">
        <f t="shared" si="1"/>
        <v>-2225</v>
      </c>
      <c r="G27" s="594">
        <f>'21-22.勞務成本明細7級'!G28</f>
        <v>4777</v>
      </c>
      <c r="H27" s="126">
        <v>0</v>
      </c>
      <c r="I27" s="753">
        <v>0</v>
      </c>
      <c r="J27" s="690">
        <f t="shared" si="3"/>
        <v>-509</v>
      </c>
      <c r="K27" s="690">
        <f t="shared" si="4"/>
        <v>-2225</v>
      </c>
    </row>
    <row r="28" spans="1:11" s="29" customFormat="1" ht="22.5" customHeight="1">
      <c r="A28" s="156">
        <v>125</v>
      </c>
      <c r="B28" s="679">
        <v>300</v>
      </c>
      <c r="C28" s="594">
        <v>193</v>
      </c>
      <c r="D28" s="235" t="s">
        <v>54</v>
      </c>
      <c r="E28" s="550">
        <f t="shared" si="0"/>
        <v>334</v>
      </c>
      <c r="F28" s="550">
        <f t="shared" si="1"/>
        <v>34</v>
      </c>
      <c r="G28" s="594">
        <f>'21-22.勞務成本明細7級'!G29</f>
        <v>334</v>
      </c>
      <c r="H28" s="126">
        <v>0</v>
      </c>
      <c r="I28" s="753">
        <v>0</v>
      </c>
      <c r="J28" s="690">
        <f t="shared" si="3"/>
        <v>141</v>
      </c>
      <c r="K28" s="690">
        <f t="shared" si="4"/>
        <v>34</v>
      </c>
    </row>
    <row r="29" spans="1:11" s="29" customFormat="1" ht="22.5" customHeight="1">
      <c r="A29" s="156">
        <v>728</v>
      </c>
      <c r="B29" s="679">
        <v>852</v>
      </c>
      <c r="C29" s="594">
        <v>639</v>
      </c>
      <c r="D29" s="235" t="s">
        <v>389</v>
      </c>
      <c r="E29" s="550">
        <f t="shared" si="0"/>
        <v>765</v>
      </c>
      <c r="F29" s="550">
        <f t="shared" si="1"/>
        <v>-87</v>
      </c>
      <c r="G29" s="594">
        <f>'21-22.勞務成本明細7級'!G30</f>
        <v>765</v>
      </c>
      <c r="H29" s="126">
        <v>0</v>
      </c>
      <c r="I29" s="753">
        <v>0</v>
      </c>
      <c r="J29" s="690">
        <f t="shared" si="3"/>
        <v>126</v>
      </c>
      <c r="K29" s="690">
        <f t="shared" si="4"/>
        <v>-87</v>
      </c>
    </row>
    <row r="30" spans="1:11" s="29" customFormat="1" ht="22.5" customHeight="1">
      <c r="A30" s="156">
        <f>SUM(A31:A32)</f>
        <v>114</v>
      </c>
      <c r="B30" s="679">
        <f>SUM(B31:B32)</f>
        <v>54</v>
      </c>
      <c r="C30" s="612">
        <f>SUM(C31:C32)</f>
        <v>128</v>
      </c>
      <c r="D30" s="152" t="s">
        <v>99</v>
      </c>
      <c r="E30" s="550">
        <f t="shared" si="0"/>
        <v>74</v>
      </c>
      <c r="F30" s="550">
        <f t="shared" si="1"/>
        <v>20</v>
      </c>
      <c r="G30" s="594">
        <f>SUM(G31:G32)</f>
        <v>74</v>
      </c>
      <c r="H30" s="126">
        <f t="shared" ref="H30:I30" si="8">SUM(H31:H32)</f>
        <v>0</v>
      </c>
      <c r="I30" s="753">
        <f t="shared" si="8"/>
        <v>0</v>
      </c>
      <c r="J30" s="690">
        <f t="shared" si="3"/>
        <v>-54</v>
      </c>
      <c r="K30" s="690">
        <f t="shared" si="4"/>
        <v>20</v>
      </c>
    </row>
    <row r="31" spans="1:11" s="29" customFormat="1" ht="22.5" customHeight="1">
      <c r="A31" s="156">
        <v>4</v>
      </c>
      <c r="B31" s="679">
        <v>4</v>
      </c>
      <c r="C31" s="594">
        <v>7</v>
      </c>
      <c r="D31" s="235" t="s">
        <v>390</v>
      </c>
      <c r="E31" s="550">
        <f t="shared" si="0"/>
        <v>8</v>
      </c>
      <c r="F31" s="550">
        <f t="shared" si="1"/>
        <v>4</v>
      </c>
      <c r="G31" s="594">
        <f>'21-22.勞務成本明細7級'!G32</f>
        <v>8</v>
      </c>
      <c r="H31" s="126">
        <v>0</v>
      </c>
      <c r="I31" s="753">
        <v>0</v>
      </c>
      <c r="J31" s="690">
        <f t="shared" si="3"/>
        <v>1</v>
      </c>
      <c r="K31" s="690">
        <f t="shared" si="4"/>
        <v>4</v>
      </c>
    </row>
    <row r="32" spans="1:11" s="29" customFormat="1" ht="22.5" customHeight="1">
      <c r="A32" s="156">
        <v>110</v>
      </c>
      <c r="B32" s="679">
        <v>50</v>
      </c>
      <c r="C32" s="594">
        <v>121</v>
      </c>
      <c r="D32" s="235" t="s">
        <v>55</v>
      </c>
      <c r="E32" s="550">
        <f t="shared" si="0"/>
        <v>66</v>
      </c>
      <c r="F32" s="550">
        <f t="shared" si="1"/>
        <v>16</v>
      </c>
      <c r="G32" s="594">
        <f>'21-22.勞務成本明細7級'!G33</f>
        <v>66</v>
      </c>
      <c r="H32" s="126">
        <v>0</v>
      </c>
      <c r="I32" s="753">
        <v>0</v>
      </c>
      <c r="J32" s="690">
        <f t="shared" si="3"/>
        <v>-55</v>
      </c>
      <c r="K32" s="690">
        <f t="shared" si="4"/>
        <v>16</v>
      </c>
    </row>
    <row r="33" spans="1:11" s="29" customFormat="1" ht="22.5" customHeight="1">
      <c r="A33" s="156">
        <f>SUM(A34:A37)</f>
        <v>101608</v>
      </c>
      <c r="B33" s="679">
        <f>SUM(B34:B37)</f>
        <v>113390</v>
      </c>
      <c r="C33" s="594">
        <f>SUM(C34:C37)</f>
        <v>104621</v>
      </c>
      <c r="D33" s="154" t="s">
        <v>280</v>
      </c>
      <c r="E33" s="550">
        <f t="shared" si="0"/>
        <v>121591</v>
      </c>
      <c r="F33" s="550">
        <f t="shared" si="1"/>
        <v>8201</v>
      </c>
      <c r="G33" s="594">
        <f>SUM(G34:G37)</f>
        <v>121591</v>
      </c>
      <c r="H33" s="126">
        <f t="shared" ref="H33:I33" si="9">SUM(H34:H37)</f>
        <v>0</v>
      </c>
      <c r="I33" s="753">
        <f t="shared" si="9"/>
        <v>0</v>
      </c>
      <c r="J33" s="690">
        <f t="shared" si="3"/>
        <v>16970</v>
      </c>
      <c r="K33" s="690">
        <f t="shared" si="4"/>
        <v>8201</v>
      </c>
    </row>
    <row r="34" spans="1:11" s="29" customFormat="1" ht="22.5" customHeight="1">
      <c r="A34" s="156">
        <v>5557</v>
      </c>
      <c r="B34" s="679">
        <f>5588+60</f>
        <v>5648</v>
      </c>
      <c r="C34" s="594">
        <v>5502</v>
      </c>
      <c r="D34" s="424" t="s">
        <v>671</v>
      </c>
      <c r="E34" s="550">
        <f t="shared" si="0"/>
        <v>6010</v>
      </c>
      <c r="F34" s="550">
        <f t="shared" si="1"/>
        <v>362</v>
      </c>
      <c r="G34" s="594">
        <f>'21-22.勞務成本明細7級'!G35</f>
        <v>6010</v>
      </c>
      <c r="H34" s="126">
        <v>0</v>
      </c>
      <c r="I34" s="753">
        <v>0</v>
      </c>
      <c r="J34" s="690">
        <f t="shared" si="3"/>
        <v>508</v>
      </c>
      <c r="K34" s="690">
        <f t="shared" si="4"/>
        <v>362</v>
      </c>
    </row>
    <row r="35" spans="1:11" s="29" customFormat="1" ht="22.5" customHeight="1">
      <c r="A35" s="156">
        <v>21371</v>
      </c>
      <c r="B35" s="679">
        <v>29590</v>
      </c>
      <c r="C35" s="594">
        <v>21312</v>
      </c>
      <c r="D35" s="425" t="s">
        <v>597</v>
      </c>
      <c r="E35" s="550">
        <f t="shared" si="0"/>
        <v>31449</v>
      </c>
      <c r="F35" s="550">
        <f t="shared" si="1"/>
        <v>1859</v>
      </c>
      <c r="G35" s="594">
        <f>'21-22.勞務成本明細7級'!G36</f>
        <v>31449</v>
      </c>
      <c r="H35" s="126">
        <v>0</v>
      </c>
      <c r="I35" s="753">
        <v>0</v>
      </c>
      <c r="J35" s="690">
        <f t="shared" si="3"/>
        <v>10137</v>
      </c>
      <c r="K35" s="690">
        <f t="shared" si="4"/>
        <v>1859</v>
      </c>
    </row>
    <row r="36" spans="1:11" s="29" customFormat="1" ht="22.5" customHeight="1">
      <c r="A36" s="156">
        <v>17156</v>
      </c>
      <c r="B36" s="679">
        <v>15971</v>
      </c>
      <c r="C36" s="594">
        <v>18352</v>
      </c>
      <c r="D36" s="425" t="s">
        <v>100</v>
      </c>
      <c r="E36" s="550">
        <f t="shared" si="0"/>
        <v>19270</v>
      </c>
      <c r="F36" s="550">
        <f t="shared" si="1"/>
        <v>3299</v>
      </c>
      <c r="G36" s="594">
        <f>'21-22.勞務成本明細7級'!G37</f>
        <v>19270</v>
      </c>
      <c r="H36" s="126">
        <v>0</v>
      </c>
      <c r="I36" s="753">
        <v>0</v>
      </c>
      <c r="J36" s="690">
        <f t="shared" si="3"/>
        <v>918</v>
      </c>
      <c r="K36" s="690">
        <f t="shared" si="4"/>
        <v>3299</v>
      </c>
    </row>
    <row r="37" spans="1:11" s="29" customFormat="1" ht="22.5" customHeight="1">
      <c r="A37" s="156">
        <v>57524</v>
      </c>
      <c r="B37" s="679">
        <v>62181</v>
      </c>
      <c r="C37" s="594">
        <v>59455</v>
      </c>
      <c r="D37" s="425" t="s">
        <v>101</v>
      </c>
      <c r="E37" s="550">
        <f t="shared" si="0"/>
        <v>64862</v>
      </c>
      <c r="F37" s="550">
        <f t="shared" si="1"/>
        <v>2681</v>
      </c>
      <c r="G37" s="594">
        <f>'21-22.勞務成本明細7級'!G38</f>
        <v>64862</v>
      </c>
      <c r="H37" s="126">
        <v>0</v>
      </c>
      <c r="I37" s="753">
        <v>0</v>
      </c>
      <c r="J37" s="690">
        <f t="shared" si="3"/>
        <v>5407</v>
      </c>
      <c r="K37" s="690">
        <f t="shared" si="4"/>
        <v>2681</v>
      </c>
    </row>
    <row r="38" spans="1:11" s="29" customFormat="1" ht="24" customHeight="1">
      <c r="A38" s="156">
        <f>SUM(A39:A47)+1</f>
        <v>344785</v>
      </c>
      <c r="B38" s="679">
        <f>SUM(B39:B47)+1</f>
        <v>340845</v>
      </c>
      <c r="C38" s="594">
        <f>SUM(C39:C47)</f>
        <v>364796</v>
      </c>
      <c r="D38" s="152" t="s">
        <v>102</v>
      </c>
      <c r="E38" s="550">
        <f t="shared" si="0"/>
        <v>358691</v>
      </c>
      <c r="F38" s="550">
        <f t="shared" si="1"/>
        <v>17846</v>
      </c>
      <c r="G38" s="594">
        <f>SUM(G39:G47)</f>
        <v>358691</v>
      </c>
      <c r="H38" s="126">
        <f t="shared" ref="H38:I38" si="10">SUM(H39:H47)</f>
        <v>0</v>
      </c>
      <c r="I38" s="753">
        <f t="shared" si="10"/>
        <v>0</v>
      </c>
      <c r="J38" s="690">
        <f t="shared" si="3"/>
        <v>-6105</v>
      </c>
      <c r="K38" s="690">
        <f t="shared" si="4"/>
        <v>17846</v>
      </c>
    </row>
    <row r="39" spans="1:11" s="29" customFormat="1" ht="23.1" customHeight="1">
      <c r="A39" s="156">
        <v>283</v>
      </c>
      <c r="B39" s="679">
        <v>282</v>
      </c>
      <c r="C39" s="594">
        <v>282</v>
      </c>
      <c r="D39" s="235" t="s">
        <v>103</v>
      </c>
      <c r="E39" s="550">
        <f t="shared" si="0"/>
        <v>282</v>
      </c>
      <c r="F39" s="550">
        <f t="shared" si="1"/>
        <v>0</v>
      </c>
      <c r="G39" s="594">
        <f>'21-22.勞務成本明細7級'!G40</f>
        <v>282</v>
      </c>
      <c r="H39" s="126">
        <v>0</v>
      </c>
      <c r="I39" s="753">
        <v>0</v>
      </c>
      <c r="J39" s="690">
        <f t="shared" si="3"/>
        <v>0</v>
      </c>
      <c r="K39" s="690">
        <f t="shared" si="4"/>
        <v>0</v>
      </c>
    </row>
    <row r="40" spans="1:11" s="29" customFormat="1" ht="23.1" hidden="1" customHeight="1">
      <c r="A40" s="156">
        <v>0</v>
      </c>
      <c r="B40" s="679">
        <v>0</v>
      </c>
      <c r="C40" s="594">
        <v>0</v>
      </c>
      <c r="D40" s="235" t="s">
        <v>654</v>
      </c>
      <c r="E40" s="550">
        <f t="shared" si="0"/>
        <v>0</v>
      </c>
      <c r="F40" s="550">
        <f t="shared" si="1"/>
        <v>0</v>
      </c>
      <c r="G40" s="594">
        <f>'21-22.勞務成本明細7級'!G41</f>
        <v>0</v>
      </c>
      <c r="H40" s="126">
        <v>0</v>
      </c>
      <c r="I40" s="753">
        <v>0</v>
      </c>
      <c r="J40" s="690">
        <f t="shared" si="3"/>
        <v>0</v>
      </c>
      <c r="K40" s="690">
        <f t="shared" si="4"/>
        <v>0</v>
      </c>
    </row>
    <row r="41" spans="1:11" s="29" customFormat="1" ht="23.1" customHeight="1">
      <c r="A41" s="156">
        <v>584</v>
      </c>
      <c r="B41" s="679">
        <v>0</v>
      </c>
      <c r="C41" s="594">
        <v>98</v>
      </c>
      <c r="D41" s="235" t="s">
        <v>800</v>
      </c>
      <c r="E41" s="550">
        <f t="shared" si="0"/>
        <v>0</v>
      </c>
      <c r="F41" s="550">
        <f t="shared" si="1"/>
        <v>0</v>
      </c>
      <c r="G41" s="594">
        <f>'21-22.勞務成本明細7級'!G42</f>
        <v>0</v>
      </c>
      <c r="H41" s="126">
        <v>0</v>
      </c>
      <c r="I41" s="753">
        <v>0</v>
      </c>
      <c r="J41" s="690">
        <f t="shared" si="3"/>
        <v>-98</v>
      </c>
      <c r="K41" s="690">
        <f t="shared" si="4"/>
        <v>0</v>
      </c>
    </row>
    <row r="42" spans="1:11" s="29" customFormat="1">
      <c r="A42" s="156">
        <v>2794</v>
      </c>
      <c r="B42" s="679">
        <v>4748</v>
      </c>
      <c r="C42" s="594">
        <v>4673</v>
      </c>
      <c r="D42" s="426" t="s">
        <v>672</v>
      </c>
      <c r="E42" s="550">
        <f t="shared" si="0"/>
        <v>4149</v>
      </c>
      <c r="F42" s="550">
        <f t="shared" si="1"/>
        <v>-599</v>
      </c>
      <c r="G42" s="594">
        <f>'21-22.勞務成本明細7級'!G43</f>
        <v>4149</v>
      </c>
      <c r="H42" s="126">
        <v>0</v>
      </c>
      <c r="I42" s="753">
        <v>0</v>
      </c>
      <c r="J42" s="690">
        <f t="shared" si="3"/>
        <v>-524</v>
      </c>
      <c r="K42" s="690">
        <f t="shared" si="4"/>
        <v>-599</v>
      </c>
    </row>
    <row r="43" spans="1:11" s="29" customFormat="1" ht="23.1" customHeight="1">
      <c r="A43" s="156">
        <v>480</v>
      </c>
      <c r="B43" s="679">
        <v>0</v>
      </c>
      <c r="C43" s="594">
        <v>0</v>
      </c>
      <c r="D43" s="426" t="s">
        <v>664</v>
      </c>
      <c r="E43" s="550">
        <f t="shared" si="0"/>
        <v>236</v>
      </c>
      <c r="F43" s="550">
        <f t="shared" si="1"/>
        <v>236</v>
      </c>
      <c r="G43" s="594">
        <f>'21-22.勞務成本明細7級'!G44</f>
        <v>236</v>
      </c>
      <c r="H43" s="126">
        <v>0</v>
      </c>
      <c r="I43" s="753">
        <v>0</v>
      </c>
      <c r="J43" s="690">
        <f t="shared" si="3"/>
        <v>236</v>
      </c>
      <c r="K43" s="690">
        <f t="shared" si="4"/>
        <v>236</v>
      </c>
    </row>
    <row r="44" spans="1:11" s="29" customFormat="1" ht="23.1" customHeight="1">
      <c r="A44" s="156">
        <v>1284</v>
      </c>
      <c r="B44" s="679">
        <v>1780</v>
      </c>
      <c r="C44" s="594">
        <v>173</v>
      </c>
      <c r="D44" s="426" t="s">
        <v>673</v>
      </c>
      <c r="E44" s="550">
        <f t="shared" si="0"/>
        <v>117</v>
      </c>
      <c r="F44" s="550">
        <f t="shared" si="1"/>
        <v>-1663</v>
      </c>
      <c r="G44" s="594">
        <f>'21-22.勞務成本明細7級'!G45</f>
        <v>117</v>
      </c>
      <c r="H44" s="126">
        <v>0</v>
      </c>
      <c r="I44" s="753">
        <v>0</v>
      </c>
      <c r="J44" s="690">
        <f t="shared" si="3"/>
        <v>-56</v>
      </c>
      <c r="K44" s="690">
        <f t="shared" si="4"/>
        <v>-1663</v>
      </c>
    </row>
    <row r="45" spans="1:11" s="29" customFormat="1" ht="23.1" customHeight="1" thickBot="1">
      <c r="A45" s="750">
        <v>322894</v>
      </c>
      <c r="B45" s="756">
        <v>317815</v>
      </c>
      <c r="C45" s="687">
        <v>338924</v>
      </c>
      <c r="D45" s="759" t="s">
        <v>104</v>
      </c>
      <c r="E45" s="567">
        <f t="shared" si="0"/>
        <v>334172</v>
      </c>
      <c r="F45" s="567">
        <f t="shared" si="1"/>
        <v>16357</v>
      </c>
      <c r="G45" s="687">
        <f>'21-22.勞務成本明細7級'!G46</f>
        <v>334172</v>
      </c>
      <c r="H45" s="236">
        <v>0</v>
      </c>
      <c r="I45" s="754">
        <v>0</v>
      </c>
      <c r="J45" s="690">
        <f t="shared" si="3"/>
        <v>-4752</v>
      </c>
      <c r="K45" s="690">
        <f t="shared" si="4"/>
        <v>16357</v>
      </c>
    </row>
    <row r="46" spans="1:11" ht="23.1" customHeight="1">
      <c r="A46" s="156">
        <v>16465</v>
      </c>
      <c r="B46" s="679">
        <v>16219</v>
      </c>
      <c r="C46" s="594">
        <v>20646</v>
      </c>
      <c r="D46" s="694" t="s">
        <v>963</v>
      </c>
      <c r="E46" s="550">
        <f t="shared" si="0"/>
        <v>19735</v>
      </c>
      <c r="F46" s="550">
        <f t="shared" si="1"/>
        <v>3516</v>
      </c>
      <c r="G46" s="594">
        <f>'21-22.勞務成本明細7級'!G47</f>
        <v>19735</v>
      </c>
      <c r="H46" s="126">
        <v>0</v>
      </c>
      <c r="I46" s="753">
        <v>0</v>
      </c>
      <c r="J46" s="690">
        <f t="shared" si="3"/>
        <v>-911</v>
      </c>
      <c r="K46" s="690">
        <f t="shared" si="4"/>
        <v>3516</v>
      </c>
    </row>
    <row r="47" spans="1:11" ht="23.1" hidden="1" customHeight="1">
      <c r="A47" s="156">
        <v>0</v>
      </c>
      <c r="B47" s="679">
        <v>0</v>
      </c>
      <c r="C47" s="594">
        <v>0</v>
      </c>
      <c r="D47" s="235" t="s">
        <v>655</v>
      </c>
      <c r="E47" s="550">
        <f t="shared" si="0"/>
        <v>0</v>
      </c>
      <c r="F47" s="550">
        <f t="shared" si="1"/>
        <v>0</v>
      </c>
      <c r="G47" s="594">
        <f>'21-22.勞務成本明細7級'!G48</f>
        <v>0</v>
      </c>
      <c r="H47" s="126">
        <v>0</v>
      </c>
      <c r="I47" s="753">
        <v>0</v>
      </c>
      <c r="J47" s="690">
        <f t="shared" si="3"/>
        <v>0</v>
      </c>
      <c r="K47" s="690">
        <f t="shared" si="4"/>
        <v>0</v>
      </c>
    </row>
    <row r="48" spans="1:11" ht="23.1" customHeight="1">
      <c r="A48" s="156">
        <f>A49</f>
        <v>138</v>
      </c>
      <c r="B48" s="679">
        <f>B49</f>
        <v>186</v>
      </c>
      <c r="C48" s="594">
        <f>C49</f>
        <v>300</v>
      </c>
      <c r="D48" s="152" t="s">
        <v>105</v>
      </c>
      <c r="E48" s="550">
        <f t="shared" si="0"/>
        <v>300</v>
      </c>
      <c r="F48" s="550">
        <f t="shared" si="1"/>
        <v>114</v>
      </c>
      <c r="G48" s="594">
        <f>G49</f>
        <v>300</v>
      </c>
      <c r="H48" s="126">
        <f t="shared" ref="H48:I48" si="11">H49</f>
        <v>0</v>
      </c>
      <c r="I48" s="753">
        <f t="shared" si="11"/>
        <v>0</v>
      </c>
      <c r="J48" s="690">
        <f t="shared" si="3"/>
        <v>0</v>
      </c>
      <c r="K48" s="690">
        <f t="shared" si="4"/>
        <v>114</v>
      </c>
    </row>
    <row r="49" spans="1:11" ht="23.1" customHeight="1">
      <c r="A49" s="156">
        <v>138</v>
      </c>
      <c r="B49" s="679">
        <v>186</v>
      </c>
      <c r="C49" s="594">
        <v>300</v>
      </c>
      <c r="D49" s="235" t="s">
        <v>97</v>
      </c>
      <c r="E49" s="550">
        <f t="shared" si="0"/>
        <v>300</v>
      </c>
      <c r="F49" s="550">
        <f t="shared" si="1"/>
        <v>114</v>
      </c>
      <c r="G49" s="594">
        <f>'21-22.勞務成本明細7級'!G50</f>
        <v>300</v>
      </c>
      <c r="H49" s="126">
        <v>0</v>
      </c>
      <c r="I49" s="753">
        <v>0</v>
      </c>
      <c r="J49" s="690">
        <f t="shared" si="3"/>
        <v>0</v>
      </c>
      <c r="K49" s="690">
        <f t="shared" si="4"/>
        <v>114</v>
      </c>
    </row>
    <row r="50" spans="1:11" s="683" customFormat="1" ht="24.75" customHeight="1">
      <c r="A50" s="369">
        <f>SUM(A51,A54)</f>
        <v>20489</v>
      </c>
      <c r="B50" s="757">
        <f>SUM(B51,B54)</f>
        <v>23586</v>
      </c>
      <c r="C50" s="686">
        <f>SUM(C51,C54)</f>
        <v>22311</v>
      </c>
      <c r="D50" s="941" t="s">
        <v>96</v>
      </c>
      <c r="E50" s="550">
        <f t="shared" si="0"/>
        <v>26342</v>
      </c>
      <c r="F50" s="550">
        <f t="shared" si="1"/>
        <v>2756</v>
      </c>
      <c r="G50" s="686">
        <f>SUM(G51,G54)</f>
        <v>26342</v>
      </c>
      <c r="H50" s="149">
        <f t="shared" ref="H50:I50" si="12">SUM(H51,H54)</f>
        <v>0</v>
      </c>
      <c r="I50" s="752">
        <f t="shared" si="12"/>
        <v>0</v>
      </c>
      <c r="J50" s="690">
        <f t="shared" si="3"/>
        <v>4031</v>
      </c>
      <c r="K50" s="690">
        <f t="shared" si="4"/>
        <v>2756</v>
      </c>
    </row>
    <row r="51" spans="1:11" ht="23.1" customHeight="1">
      <c r="A51" s="156">
        <f>SUM(A52:A53)</f>
        <v>1021</v>
      </c>
      <c r="B51" s="679">
        <f>SUM(B52:B53)</f>
        <v>1166</v>
      </c>
      <c r="C51" s="594">
        <f>SUM(C52:C53)</f>
        <v>997</v>
      </c>
      <c r="D51" s="154" t="s">
        <v>106</v>
      </c>
      <c r="E51" s="550">
        <f t="shared" si="0"/>
        <v>1063</v>
      </c>
      <c r="F51" s="550">
        <f t="shared" si="1"/>
        <v>-103</v>
      </c>
      <c r="G51" s="594">
        <f>SUM(G52:G53)</f>
        <v>1063</v>
      </c>
      <c r="H51" s="126">
        <f t="shared" ref="H51:I51" si="13">SUM(H52:H53)</f>
        <v>0</v>
      </c>
      <c r="I51" s="753">
        <f t="shared" si="13"/>
        <v>0</v>
      </c>
      <c r="J51" s="690">
        <f t="shared" si="3"/>
        <v>66</v>
      </c>
      <c r="K51" s="690">
        <f t="shared" si="4"/>
        <v>-103</v>
      </c>
    </row>
    <row r="52" spans="1:11" ht="23.1" customHeight="1">
      <c r="A52" s="156">
        <v>238</v>
      </c>
      <c r="B52" s="679">
        <v>333</v>
      </c>
      <c r="C52" s="594">
        <v>210</v>
      </c>
      <c r="D52" s="427" t="s">
        <v>107</v>
      </c>
      <c r="E52" s="550">
        <f t="shared" si="0"/>
        <v>180</v>
      </c>
      <c r="F52" s="550">
        <f t="shared" si="1"/>
        <v>-153</v>
      </c>
      <c r="G52" s="594">
        <f>'21-22.勞務成本明細7級'!G53</f>
        <v>180</v>
      </c>
      <c r="H52" s="126">
        <v>0</v>
      </c>
      <c r="I52" s="753">
        <v>0</v>
      </c>
      <c r="J52" s="690">
        <f t="shared" si="3"/>
        <v>-30</v>
      </c>
      <c r="K52" s="690">
        <f t="shared" si="4"/>
        <v>-153</v>
      </c>
    </row>
    <row r="53" spans="1:11" ht="23.1" customHeight="1">
      <c r="A53" s="156">
        <v>783</v>
      </c>
      <c r="B53" s="679">
        <v>833</v>
      </c>
      <c r="C53" s="594">
        <v>787</v>
      </c>
      <c r="D53" s="427" t="s">
        <v>108</v>
      </c>
      <c r="E53" s="550">
        <f t="shared" si="0"/>
        <v>883</v>
      </c>
      <c r="F53" s="550">
        <f t="shared" si="1"/>
        <v>50</v>
      </c>
      <c r="G53" s="594">
        <f>'21-22.勞務成本明細7級'!G54</f>
        <v>883</v>
      </c>
      <c r="H53" s="126">
        <v>0</v>
      </c>
      <c r="I53" s="753">
        <v>0</v>
      </c>
      <c r="J53" s="690">
        <f t="shared" si="3"/>
        <v>96</v>
      </c>
      <c r="K53" s="690">
        <f t="shared" si="4"/>
        <v>50</v>
      </c>
    </row>
    <row r="54" spans="1:11" ht="23.1" customHeight="1">
      <c r="A54" s="156">
        <f>SUM(A55:A60)+1</f>
        <v>19468</v>
      </c>
      <c r="B54" s="679">
        <f>SUM(B55:B60)+1</f>
        <v>22420</v>
      </c>
      <c r="C54" s="594">
        <f>SUM(C55:C60)</f>
        <v>21314</v>
      </c>
      <c r="D54" s="154" t="s">
        <v>218</v>
      </c>
      <c r="E54" s="550">
        <f t="shared" si="0"/>
        <v>25279</v>
      </c>
      <c r="F54" s="550">
        <f t="shared" si="1"/>
        <v>2859</v>
      </c>
      <c r="G54" s="594">
        <f>SUM(G55:G60)</f>
        <v>25279</v>
      </c>
      <c r="H54" s="126">
        <f t="shared" ref="H54:I54" si="14">SUM(H55:H60)</f>
        <v>0</v>
      </c>
      <c r="I54" s="753">
        <f t="shared" si="14"/>
        <v>0</v>
      </c>
      <c r="J54" s="690">
        <f t="shared" si="3"/>
        <v>3965</v>
      </c>
      <c r="K54" s="690">
        <f t="shared" si="4"/>
        <v>2859</v>
      </c>
    </row>
    <row r="55" spans="1:11" ht="23.1" customHeight="1">
      <c r="A55" s="156">
        <v>8360</v>
      </c>
      <c r="B55" s="679">
        <v>10380</v>
      </c>
      <c r="C55" s="594">
        <v>9836</v>
      </c>
      <c r="D55" s="427" t="s">
        <v>598</v>
      </c>
      <c r="E55" s="550">
        <f t="shared" si="0"/>
        <v>13182</v>
      </c>
      <c r="F55" s="550">
        <f t="shared" si="1"/>
        <v>2802</v>
      </c>
      <c r="G55" s="594">
        <f>'21-22.勞務成本明細7級'!G56</f>
        <v>13182</v>
      </c>
      <c r="H55" s="126">
        <v>0</v>
      </c>
      <c r="I55" s="753">
        <v>0</v>
      </c>
      <c r="J55" s="690">
        <f t="shared" si="3"/>
        <v>3346</v>
      </c>
      <c r="K55" s="690">
        <f t="shared" si="4"/>
        <v>2802</v>
      </c>
    </row>
    <row r="56" spans="1:11" ht="23.1" customHeight="1">
      <c r="A56" s="156">
        <v>1078</v>
      </c>
      <c r="B56" s="679">
        <v>1497</v>
      </c>
      <c r="C56" s="594">
        <v>1259</v>
      </c>
      <c r="D56" s="427" t="s">
        <v>599</v>
      </c>
      <c r="E56" s="550">
        <f t="shared" si="0"/>
        <v>1239</v>
      </c>
      <c r="F56" s="550">
        <f t="shared" si="1"/>
        <v>-258</v>
      </c>
      <c r="G56" s="594">
        <f>'21-22.勞務成本明細7級'!G57</f>
        <v>1239</v>
      </c>
      <c r="H56" s="126">
        <v>0</v>
      </c>
      <c r="I56" s="753">
        <v>0</v>
      </c>
      <c r="J56" s="690">
        <f t="shared" si="3"/>
        <v>-20</v>
      </c>
      <c r="K56" s="690">
        <f t="shared" si="4"/>
        <v>-258</v>
      </c>
    </row>
    <row r="57" spans="1:11" ht="23.1" customHeight="1">
      <c r="A57" s="156"/>
      <c r="B57" s="679">
        <v>78</v>
      </c>
      <c r="C57" s="594">
        <v>0</v>
      </c>
      <c r="D57" s="427" t="s">
        <v>1056</v>
      </c>
      <c r="E57" s="550">
        <f t="shared" si="0"/>
        <v>73</v>
      </c>
      <c r="F57" s="550"/>
      <c r="G57" s="594">
        <f>'21-22.勞務成本明細7級'!G58</f>
        <v>73</v>
      </c>
      <c r="H57" s="126">
        <v>0</v>
      </c>
      <c r="I57" s="753">
        <v>0</v>
      </c>
      <c r="J57" s="690">
        <f t="shared" si="3"/>
        <v>73</v>
      </c>
      <c r="K57" s="690"/>
    </row>
    <row r="58" spans="1:11" ht="23.1" customHeight="1">
      <c r="A58" s="156">
        <v>9520</v>
      </c>
      <c r="B58" s="679">
        <v>9776</v>
      </c>
      <c r="C58" s="594">
        <v>9655</v>
      </c>
      <c r="D58" s="235" t="s">
        <v>161</v>
      </c>
      <c r="E58" s="550">
        <f t="shared" si="0"/>
        <v>10152</v>
      </c>
      <c r="F58" s="550">
        <f t="shared" si="1"/>
        <v>376</v>
      </c>
      <c r="G58" s="594">
        <f>'21-22.勞務成本明細7級'!G59</f>
        <v>10152</v>
      </c>
      <c r="H58" s="126">
        <v>0</v>
      </c>
      <c r="I58" s="753">
        <v>0</v>
      </c>
      <c r="J58" s="690">
        <f t="shared" si="3"/>
        <v>497</v>
      </c>
      <c r="K58" s="690">
        <f t="shared" si="4"/>
        <v>376</v>
      </c>
    </row>
    <row r="59" spans="1:11" ht="23.1" customHeight="1">
      <c r="A59" s="156">
        <v>27</v>
      </c>
      <c r="B59" s="679">
        <v>9</v>
      </c>
      <c r="C59" s="594">
        <v>26</v>
      </c>
      <c r="D59" s="426" t="s">
        <v>674</v>
      </c>
      <c r="E59" s="550">
        <f t="shared" si="0"/>
        <v>7</v>
      </c>
      <c r="F59" s="550">
        <f t="shared" si="1"/>
        <v>-2</v>
      </c>
      <c r="G59" s="594">
        <f>'21-22.勞務成本明細7級'!G60</f>
        <v>7</v>
      </c>
      <c r="H59" s="126">
        <v>0</v>
      </c>
      <c r="I59" s="753">
        <v>0</v>
      </c>
      <c r="J59" s="690">
        <f t="shared" si="3"/>
        <v>-19</v>
      </c>
      <c r="K59" s="690">
        <f t="shared" si="4"/>
        <v>-2</v>
      </c>
    </row>
    <row r="60" spans="1:11" ht="23.1" customHeight="1">
      <c r="A60" s="156">
        <v>482</v>
      </c>
      <c r="B60" s="679">
        <v>679</v>
      </c>
      <c r="C60" s="594">
        <v>538</v>
      </c>
      <c r="D60" s="235" t="s">
        <v>109</v>
      </c>
      <c r="E60" s="550">
        <f t="shared" si="0"/>
        <v>626</v>
      </c>
      <c r="F60" s="550">
        <f t="shared" si="1"/>
        <v>-53</v>
      </c>
      <c r="G60" s="594">
        <f>'21-22.勞務成本明細7級'!G61</f>
        <v>626</v>
      </c>
      <c r="H60" s="126">
        <v>0</v>
      </c>
      <c r="I60" s="753">
        <v>0</v>
      </c>
      <c r="J60" s="690">
        <f t="shared" si="3"/>
        <v>88</v>
      </c>
      <c r="K60" s="690">
        <f t="shared" si="4"/>
        <v>-53</v>
      </c>
    </row>
    <row r="61" spans="1:11" s="683" customFormat="1" ht="24.75" customHeight="1">
      <c r="A61" s="369">
        <f>SUM(A62,A64,A66,A69,A71)</f>
        <v>15694</v>
      </c>
      <c r="B61" s="757">
        <f>SUM(B62,B64,B66,B69,B71)-1</f>
        <v>14715</v>
      </c>
      <c r="C61" s="686">
        <f>SUM(C62,C64,C66,C69,C71)</f>
        <v>16236</v>
      </c>
      <c r="D61" s="49" t="s">
        <v>219</v>
      </c>
      <c r="E61" s="550">
        <f t="shared" si="0"/>
        <v>15339</v>
      </c>
      <c r="F61" s="550">
        <f t="shared" si="1"/>
        <v>624</v>
      </c>
      <c r="G61" s="686">
        <f>SUM(G62,G64,G66,G69,G71)</f>
        <v>15339</v>
      </c>
      <c r="H61" s="149">
        <f t="shared" ref="H61:I61" si="15">SUM(H62,H64,H66,H69,H71)</f>
        <v>0</v>
      </c>
      <c r="I61" s="752">
        <f t="shared" si="15"/>
        <v>0</v>
      </c>
      <c r="J61" s="690">
        <f t="shared" si="3"/>
        <v>-897</v>
      </c>
      <c r="K61" s="690">
        <f t="shared" si="4"/>
        <v>624</v>
      </c>
    </row>
    <row r="62" spans="1:11" ht="23.1" hidden="1" customHeight="1">
      <c r="A62" s="156">
        <v>0</v>
      </c>
      <c r="B62" s="156">
        <f>B63</f>
        <v>0</v>
      </c>
      <c r="C62" s="612">
        <f>C63</f>
        <v>0</v>
      </c>
      <c r="D62" s="152" t="s">
        <v>48</v>
      </c>
      <c r="E62" s="550">
        <f t="shared" si="0"/>
        <v>0</v>
      </c>
      <c r="F62" s="550">
        <f t="shared" si="1"/>
        <v>0</v>
      </c>
      <c r="G62" s="594">
        <f>G63</f>
        <v>0</v>
      </c>
      <c r="H62" s="126">
        <f t="shared" ref="H62:I62" si="16">H63</f>
        <v>0</v>
      </c>
      <c r="I62" s="753">
        <f t="shared" si="16"/>
        <v>0</v>
      </c>
      <c r="J62" s="690">
        <f t="shared" si="3"/>
        <v>0</v>
      </c>
      <c r="K62" s="690">
        <f t="shared" si="4"/>
        <v>0</v>
      </c>
    </row>
    <row r="63" spans="1:11" ht="23.1" hidden="1" customHeight="1">
      <c r="A63" s="156">
        <v>0</v>
      </c>
      <c r="B63" s="156">
        <v>0</v>
      </c>
      <c r="C63" s="594">
        <v>0</v>
      </c>
      <c r="D63" s="235" t="s">
        <v>49</v>
      </c>
      <c r="E63" s="550">
        <f t="shared" si="0"/>
        <v>0</v>
      </c>
      <c r="F63" s="550">
        <f t="shared" si="1"/>
        <v>0</v>
      </c>
      <c r="G63" s="594">
        <v>0</v>
      </c>
      <c r="H63" s="126">
        <v>0</v>
      </c>
      <c r="I63" s="753">
        <v>0</v>
      </c>
      <c r="J63" s="690">
        <f t="shared" si="3"/>
        <v>0</v>
      </c>
      <c r="K63" s="690">
        <f t="shared" si="4"/>
        <v>0</v>
      </c>
    </row>
    <row r="64" spans="1:11" ht="23.1" customHeight="1">
      <c r="A64" s="156">
        <f>A65</f>
        <v>2070</v>
      </c>
      <c r="B64" s="679">
        <f>SUM(B65)</f>
        <v>1890</v>
      </c>
      <c r="C64" s="594">
        <f>SUM(C65)</f>
        <v>2089</v>
      </c>
      <c r="D64" s="152" t="s">
        <v>110</v>
      </c>
      <c r="E64" s="550">
        <f t="shared" si="0"/>
        <v>2006</v>
      </c>
      <c r="F64" s="550">
        <f t="shared" si="1"/>
        <v>116</v>
      </c>
      <c r="G64" s="594">
        <f>G65</f>
        <v>2006</v>
      </c>
      <c r="H64" s="126">
        <f t="shared" ref="H64:I64" si="17">H65</f>
        <v>0</v>
      </c>
      <c r="I64" s="753">
        <f t="shared" si="17"/>
        <v>0</v>
      </c>
      <c r="J64" s="690">
        <f t="shared" si="3"/>
        <v>-83</v>
      </c>
      <c r="K64" s="690">
        <f t="shared" si="4"/>
        <v>116</v>
      </c>
    </row>
    <row r="65" spans="1:11" ht="23.1" customHeight="1">
      <c r="A65" s="156">
        <v>2070</v>
      </c>
      <c r="B65" s="679">
        <v>1890</v>
      </c>
      <c r="C65" s="594">
        <v>2089</v>
      </c>
      <c r="D65" s="235" t="s">
        <v>111</v>
      </c>
      <c r="E65" s="550">
        <f t="shared" si="0"/>
        <v>2006</v>
      </c>
      <c r="F65" s="550">
        <f t="shared" si="1"/>
        <v>116</v>
      </c>
      <c r="G65" s="594">
        <f>'21-22.勞務成本明細7級'!G66</f>
        <v>2006</v>
      </c>
      <c r="H65" s="126">
        <v>0</v>
      </c>
      <c r="I65" s="753">
        <v>0</v>
      </c>
      <c r="J65" s="690">
        <f t="shared" si="3"/>
        <v>-83</v>
      </c>
      <c r="K65" s="690">
        <f t="shared" si="4"/>
        <v>116</v>
      </c>
    </row>
    <row r="66" spans="1:11" ht="23.1" customHeight="1">
      <c r="A66" s="156">
        <f>SUM(A67:A68)</f>
        <v>9357</v>
      </c>
      <c r="B66" s="679">
        <f>SUM(B67:B68)</f>
        <v>8811</v>
      </c>
      <c r="C66" s="594">
        <f>SUM(C67:C68)</f>
        <v>9731</v>
      </c>
      <c r="D66" s="152" t="s">
        <v>112</v>
      </c>
      <c r="E66" s="550">
        <f t="shared" si="0"/>
        <v>9083</v>
      </c>
      <c r="F66" s="550">
        <f t="shared" si="1"/>
        <v>272</v>
      </c>
      <c r="G66" s="594">
        <f>G67+G68</f>
        <v>9083</v>
      </c>
      <c r="H66" s="126">
        <f t="shared" ref="H66:I66" si="18">H67+H68</f>
        <v>0</v>
      </c>
      <c r="I66" s="753">
        <f t="shared" si="18"/>
        <v>0</v>
      </c>
      <c r="J66" s="690">
        <f t="shared" si="3"/>
        <v>-648</v>
      </c>
      <c r="K66" s="690">
        <f t="shared" si="4"/>
        <v>272</v>
      </c>
    </row>
    <row r="67" spans="1:11" ht="23.1" customHeight="1">
      <c r="A67" s="156">
        <v>9319</v>
      </c>
      <c r="B67" s="679">
        <v>8773</v>
      </c>
      <c r="C67" s="594">
        <v>9691</v>
      </c>
      <c r="D67" s="694" t="s">
        <v>962</v>
      </c>
      <c r="E67" s="550">
        <f t="shared" si="0"/>
        <v>9043</v>
      </c>
      <c r="F67" s="550">
        <f t="shared" si="1"/>
        <v>270</v>
      </c>
      <c r="G67" s="594">
        <f>'21-22.勞務成本明細7級'!G68</f>
        <v>9043</v>
      </c>
      <c r="H67" s="126">
        <v>0</v>
      </c>
      <c r="I67" s="753">
        <v>0</v>
      </c>
      <c r="J67" s="690">
        <f t="shared" si="3"/>
        <v>-648</v>
      </c>
      <c r="K67" s="690">
        <f t="shared" si="4"/>
        <v>270</v>
      </c>
    </row>
    <row r="68" spans="1:11" ht="23.1" customHeight="1">
      <c r="A68" s="156">
        <v>38</v>
      </c>
      <c r="B68" s="679">
        <v>38</v>
      </c>
      <c r="C68" s="594">
        <v>40</v>
      </c>
      <c r="D68" s="235" t="s">
        <v>113</v>
      </c>
      <c r="E68" s="550">
        <f t="shared" si="0"/>
        <v>40</v>
      </c>
      <c r="F68" s="550">
        <f t="shared" si="1"/>
        <v>2</v>
      </c>
      <c r="G68" s="594">
        <f>'21-22.勞務成本明細7級'!G69</f>
        <v>40</v>
      </c>
      <c r="H68" s="126">
        <v>0</v>
      </c>
      <c r="I68" s="753">
        <v>0</v>
      </c>
      <c r="J68" s="690">
        <f t="shared" si="3"/>
        <v>0</v>
      </c>
      <c r="K68" s="690">
        <f t="shared" si="4"/>
        <v>2</v>
      </c>
    </row>
    <row r="69" spans="1:11" ht="21" customHeight="1">
      <c r="A69" s="156">
        <f>A70</f>
        <v>4213</v>
      </c>
      <c r="B69" s="679">
        <f>SUM(B70)</f>
        <v>3845</v>
      </c>
      <c r="C69" s="594">
        <f>SUM(C70)</f>
        <v>4248</v>
      </c>
      <c r="D69" s="152" t="s">
        <v>114</v>
      </c>
      <c r="E69" s="550">
        <f t="shared" si="0"/>
        <v>4077</v>
      </c>
      <c r="F69" s="550">
        <f t="shared" si="1"/>
        <v>232</v>
      </c>
      <c r="G69" s="594">
        <f>SUM(G70)</f>
        <v>4077</v>
      </c>
      <c r="H69" s="126">
        <f t="shared" ref="H69:I69" si="19">SUM(H70)</f>
        <v>0</v>
      </c>
      <c r="I69" s="753">
        <f t="shared" si="19"/>
        <v>0</v>
      </c>
      <c r="J69" s="690">
        <f t="shared" si="3"/>
        <v>-171</v>
      </c>
      <c r="K69" s="690">
        <f t="shared" si="4"/>
        <v>232</v>
      </c>
    </row>
    <row r="70" spans="1:11" ht="21" customHeight="1">
      <c r="A70" s="156">
        <v>4213</v>
      </c>
      <c r="B70" s="679">
        <v>3845</v>
      </c>
      <c r="C70" s="594">
        <v>4248</v>
      </c>
      <c r="D70" s="235" t="s">
        <v>115</v>
      </c>
      <c r="E70" s="550">
        <f t="shared" si="0"/>
        <v>4077</v>
      </c>
      <c r="F70" s="550">
        <f t="shared" si="1"/>
        <v>232</v>
      </c>
      <c r="G70" s="594">
        <f>'21-22.勞務成本明細7級'!G71</f>
        <v>4077</v>
      </c>
      <c r="H70" s="126">
        <v>0</v>
      </c>
      <c r="I70" s="753">
        <v>0</v>
      </c>
      <c r="J70" s="690">
        <f t="shared" si="3"/>
        <v>-171</v>
      </c>
      <c r="K70" s="690">
        <f t="shared" si="4"/>
        <v>232</v>
      </c>
    </row>
    <row r="71" spans="1:11" ht="21" customHeight="1">
      <c r="A71" s="156">
        <f>A72</f>
        <v>54</v>
      </c>
      <c r="B71" s="679">
        <f>B72</f>
        <v>170</v>
      </c>
      <c r="C71" s="594">
        <f>C72</f>
        <v>168</v>
      </c>
      <c r="D71" s="152" t="s">
        <v>116</v>
      </c>
      <c r="E71" s="550">
        <f t="shared" si="0"/>
        <v>173</v>
      </c>
      <c r="F71" s="550">
        <f t="shared" si="1"/>
        <v>3</v>
      </c>
      <c r="G71" s="594">
        <f>G72</f>
        <v>173</v>
      </c>
      <c r="H71" s="126">
        <f t="shared" ref="H71:I71" si="20">H72</f>
        <v>0</v>
      </c>
      <c r="I71" s="753">
        <f t="shared" si="20"/>
        <v>0</v>
      </c>
      <c r="J71" s="690">
        <f t="shared" si="3"/>
        <v>5</v>
      </c>
      <c r="K71" s="690">
        <f t="shared" si="4"/>
        <v>3</v>
      </c>
    </row>
    <row r="72" spans="1:11" ht="21" customHeight="1">
      <c r="A72" s="156">
        <v>54</v>
      </c>
      <c r="B72" s="679">
        <v>170</v>
      </c>
      <c r="C72" s="594">
        <v>168</v>
      </c>
      <c r="D72" s="235" t="s">
        <v>117</v>
      </c>
      <c r="E72" s="550">
        <f t="shared" si="0"/>
        <v>173</v>
      </c>
      <c r="F72" s="550">
        <f t="shared" si="1"/>
        <v>3</v>
      </c>
      <c r="G72" s="594">
        <f>'21-22.勞務成本明細7級'!G73</f>
        <v>173</v>
      </c>
      <c r="H72" s="126">
        <v>0</v>
      </c>
      <c r="I72" s="753">
        <v>0</v>
      </c>
      <c r="J72" s="690">
        <f t="shared" si="3"/>
        <v>5</v>
      </c>
      <c r="K72" s="690">
        <f t="shared" si="4"/>
        <v>3</v>
      </c>
    </row>
    <row r="73" spans="1:11" s="683" customFormat="1" ht="21" customHeight="1">
      <c r="A73" s="369">
        <f>A74+A78+1</f>
        <v>29580</v>
      </c>
      <c r="B73" s="757">
        <f>B74+B78</f>
        <v>29288</v>
      </c>
      <c r="C73" s="686">
        <f t="shared" ref="C73" si="21">C74+C78</f>
        <v>34000</v>
      </c>
      <c r="D73" s="49" t="s">
        <v>152</v>
      </c>
      <c r="E73" s="550">
        <f>E74+E78</f>
        <v>30000</v>
      </c>
      <c r="F73" s="550">
        <f t="shared" si="1"/>
        <v>712</v>
      </c>
      <c r="G73" s="686">
        <f t="shared" ref="G73:I73" si="22">G74+G78</f>
        <v>30000</v>
      </c>
      <c r="H73" s="149">
        <f t="shared" si="22"/>
        <v>0</v>
      </c>
      <c r="I73" s="752">
        <f t="shared" si="22"/>
        <v>0</v>
      </c>
      <c r="J73" s="690">
        <f t="shared" si="3"/>
        <v>-4000</v>
      </c>
      <c r="K73" s="690">
        <f t="shared" si="4"/>
        <v>712</v>
      </c>
    </row>
    <row r="74" spans="1:11" ht="21" customHeight="1">
      <c r="A74" s="156">
        <f>SUM(A75:A77)</f>
        <v>15911</v>
      </c>
      <c r="B74" s="679">
        <f>SUM(B75:B77)</f>
        <v>15778</v>
      </c>
      <c r="C74" s="594">
        <f>SUM(C75:C77)</f>
        <v>19994</v>
      </c>
      <c r="D74" s="694" t="s">
        <v>961</v>
      </c>
      <c r="E74" s="550">
        <f>SUM(E75:E77)</f>
        <v>15994</v>
      </c>
      <c r="F74" s="550">
        <f t="shared" ref="F74:F98" si="23">E74-B74</f>
        <v>216</v>
      </c>
      <c r="G74" s="594">
        <f>SUM(G75:G77)</f>
        <v>15994</v>
      </c>
      <c r="H74" s="126">
        <f>SUM(H75:H77)</f>
        <v>0</v>
      </c>
      <c r="I74" s="753">
        <f>SUM(I75:I77)</f>
        <v>0</v>
      </c>
      <c r="J74" s="690">
        <f t="shared" ref="J74:J75" si="24">E74-C74</f>
        <v>-4000</v>
      </c>
      <c r="K74" s="690">
        <f t="shared" ref="K74:K98" si="25">E74-B74</f>
        <v>216</v>
      </c>
    </row>
    <row r="75" spans="1:11" ht="21" customHeight="1">
      <c r="A75" s="156">
        <v>14136</v>
      </c>
      <c r="B75" s="679">
        <v>13819</v>
      </c>
      <c r="C75" s="594">
        <v>17918</v>
      </c>
      <c r="D75" s="235" t="s">
        <v>98</v>
      </c>
      <c r="E75" s="550">
        <f t="shared" ref="E75:E98" si="26">G75+H75+I75</f>
        <v>14197</v>
      </c>
      <c r="F75" s="550">
        <f t="shared" si="23"/>
        <v>378</v>
      </c>
      <c r="G75" s="594">
        <f>'21-22.勞務成本明細7級'!G76</f>
        <v>14197</v>
      </c>
      <c r="H75" s="126">
        <v>0</v>
      </c>
      <c r="I75" s="753">
        <v>0</v>
      </c>
      <c r="J75" s="690">
        <f t="shared" si="24"/>
        <v>-3721</v>
      </c>
      <c r="K75" s="690">
        <f t="shared" si="25"/>
        <v>378</v>
      </c>
    </row>
    <row r="76" spans="1:11" ht="21" customHeight="1">
      <c r="A76" s="156">
        <v>608</v>
      </c>
      <c r="B76" s="679">
        <v>374</v>
      </c>
      <c r="C76" s="594">
        <v>597</v>
      </c>
      <c r="D76" s="235" t="s">
        <v>78</v>
      </c>
      <c r="E76" s="550">
        <f t="shared" si="26"/>
        <v>169</v>
      </c>
      <c r="F76" s="550">
        <f t="shared" si="23"/>
        <v>-205</v>
      </c>
      <c r="G76" s="594">
        <f>'21-22.勞務成本明細7級'!G77</f>
        <v>169</v>
      </c>
      <c r="H76" s="126">
        <v>0</v>
      </c>
      <c r="I76" s="753"/>
      <c r="J76" s="690">
        <f>E76-C76</f>
        <v>-428</v>
      </c>
      <c r="K76" s="690">
        <f t="shared" si="25"/>
        <v>-205</v>
      </c>
    </row>
    <row r="77" spans="1:11" ht="21" customHeight="1">
      <c r="A77" s="156">
        <v>1167</v>
      </c>
      <c r="B77" s="679">
        <v>1585</v>
      </c>
      <c r="C77" s="594">
        <v>1479</v>
      </c>
      <c r="D77" s="235" t="s">
        <v>79</v>
      </c>
      <c r="E77" s="550">
        <f t="shared" si="26"/>
        <v>1628</v>
      </c>
      <c r="F77" s="550">
        <f t="shared" si="23"/>
        <v>43</v>
      </c>
      <c r="G77" s="594">
        <f>'21-22.勞務成本明細7級'!G78</f>
        <v>1628</v>
      </c>
      <c r="H77" s="126">
        <v>0</v>
      </c>
      <c r="I77" s="753">
        <v>0</v>
      </c>
      <c r="J77" s="690">
        <f t="shared" ref="J77:J98" si="27">E77-C77</f>
        <v>149</v>
      </c>
      <c r="K77" s="690">
        <f t="shared" si="25"/>
        <v>43</v>
      </c>
    </row>
    <row r="78" spans="1:11" ht="21" customHeight="1">
      <c r="A78" s="156">
        <f>SUM(A79:A80)</f>
        <v>13668</v>
      </c>
      <c r="B78" s="679">
        <f>SUM(B79:B80)</f>
        <v>13510</v>
      </c>
      <c r="C78" s="594">
        <f>SUM(C79:C80)</f>
        <v>14006</v>
      </c>
      <c r="D78" s="152" t="s">
        <v>118</v>
      </c>
      <c r="E78" s="550">
        <f t="shared" si="26"/>
        <v>14006</v>
      </c>
      <c r="F78" s="550">
        <f t="shared" si="23"/>
        <v>496</v>
      </c>
      <c r="G78" s="594">
        <f>SUM(G79:G80)</f>
        <v>14006</v>
      </c>
      <c r="H78" s="126">
        <f t="shared" ref="H78:I78" si="28">SUM(H79)</f>
        <v>0</v>
      </c>
      <c r="I78" s="753">
        <f t="shared" si="28"/>
        <v>0</v>
      </c>
      <c r="J78" s="690">
        <f t="shared" si="27"/>
        <v>0</v>
      </c>
      <c r="K78" s="690">
        <f t="shared" si="25"/>
        <v>496</v>
      </c>
    </row>
    <row r="79" spans="1:11" ht="21" customHeight="1">
      <c r="A79" s="156">
        <v>13662</v>
      </c>
      <c r="B79" s="679">
        <v>13504</v>
      </c>
      <c r="C79" s="594">
        <v>14000</v>
      </c>
      <c r="D79" s="235" t="s">
        <v>119</v>
      </c>
      <c r="E79" s="550">
        <f t="shared" si="26"/>
        <v>14000</v>
      </c>
      <c r="F79" s="550">
        <f t="shared" si="23"/>
        <v>496</v>
      </c>
      <c r="G79" s="594">
        <f>'21-22.勞務成本明細7級'!G80</f>
        <v>14000</v>
      </c>
      <c r="H79" s="126">
        <v>0</v>
      </c>
      <c r="I79" s="753"/>
      <c r="J79" s="690">
        <f t="shared" si="27"/>
        <v>0</v>
      </c>
      <c r="K79" s="690">
        <f t="shared" si="25"/>
        <v>496</v>
      </c>
    </row>
    <row r="80" spans="1:11" ht="21" customHeight="1">
      <c r="A80" s="156">
        <v>6</v>
      </c>
      <c r="B80" s="679">
        <v>6</v>
      </c>
      <c r="C80" s="594">
        <v>6</v>
      </c>
      <c r="D80" s="235" t="s">
        <v>957</v>
      </c>
      <c r="E80" s="550">
        <f t="shared" si="26"/>
        <v>6</v>
      </c>
      <c r="F80" s="550"/>
      <c r="G80" s="594">
        <f>'21-22.勞務成本明細7級'!G81</f>
        <v>6</v>
      </c>
      <c r="H80" s="126">
        <v>0</v>
      </c>
      <c r="I80" s="753">
        <v>0</v>
      </c>
      <c r="J80" s="690">
        <f t="shared" si="27"/>
        <v>0</v>
      </c>
      <c r="K80" s="690">
        <f t="shared" si="25"/>
        <v>0</v>
      </c>
    </row>
    <row r="81" spans="1:11" s="683" customFormat="1" ht="21" customHeight="1">
      <c r="A81" s="369">
        <f>A82+A84+A87</f>
        <v>35</v>
      </c>
      <c r="B81" s="757">
        <f>B82+B84+B87</f>
        <v>3</v>
      </c>
      <c r="C81" s="686">
        <f>C82+C84+C87</f>
        <v>0</v>
      </c>
      <c r="D81" s="49" t="s">
        <v>680</v>
      </c>
      <c r="E81" s="550">
        <f>E82+E84+E87</f>
        <v>0</v>
      </c>
      <c r="F81" s="550">
        <f t="shared" si="23"/>
        <v>-3</v>
      </c>
      <c r="G81" s="686">
        <f>G84+G82+G87</f>
        <v>0</v>
      </c>
      <c r="H81" s="149">
        <f t="shared" ref="H81" si="29">H84+H82+H86</f>
        <v>0</v>
      </c>
      <c r="I81" s="752">
        <f>I84+I82+I87</f>
        <v>0</v>
      </c>
      <c r="J81" s="690">
        <f t="shared" si="27"/>
        <v>0</v>
      </c>
      <c r="K81" s="690">
        <f t="shared" si="25"/>
        <v>-3</v>
      </c>
    </row>
    <row r="82" spans="1:11" s="683" customFormat="1" ht="21" hidden="1" customHeight="1" thickBot="1">
      <c r="A82" s="750">
        <f>A83</f>
        <v>0</v>
      </c>
      <c r="B82" s="756">
        <f>B83</f>
        <v>0</v>
      </c>
      <c r="C82" s="687">
        <f>C83</f>
        <v>0</v>
      </c>
      <c r="D82" s="607" t="s">
        <v>120</v>
      </c>
      <c r="E82" s="567">
        <f>E83</f>
        <v>0</v>
      </c>
      <c r="F82" s="567">
        <f t="shared" si="23"/>
        <v>0</v>
      </c>
      <c r="G82" s="687">
        <f>G83</f>
        <v>0</v>
      </c>
      <c r="H82" s="236">
        <f t="shared" ref="H82:I82" si="30">H83</f>
        <v>0</v>
      </c>
      <c r="I82" s="754">
        <f t="shared" si="30"/>
        <v>0</v>
      </c>
      <c r="J82" s="690">
        <f t="shared" si="27"/>
        <v>0</v>
      </c>
      <c r="K82" s="690">
        <f t="shared" si="25"/>
        <v>0</v>
      </c>
    </row>
    <row r="83" spans="1:11" s="683" customFormat="1" ht="21" hidden="1" customHeight="1">
      <c r="A83" s="156">
        <v>0</v>
      </c>
      <c r="B83" s="679">
        <v>0</v>
      </c>
      <c r="C83" s="594">
        <v>0</v>
      </c>
      <c r="D83" s="184" t="s">
        <v>121</v>
      </c>
      <c r="E83" s="550">
        <f t="shared" si="26"/>
        <v>0</v>
      </c>
      <c r="F83" s="550">
        <f t="shared" si="23"/>
        <v>0</v>
      </c>
      <c r="G83" s="594">
        <f>0</f>
        <v>0</v>
      </c>
      <c r="H83" s="126"/>
      <c r="I83" s="753">
        <f>0</f>
        <v>0</v>
      </c>
      <c r="J83" s="690">
        <f t="shared" si="27"/>
        <v>0</v>
      </c>
      <c r="K83" s="690">
        <f t="shared" si="25"/>
        <v>0</v>
      </c>
    </row>
    <row r="84" spans="1:11" ht="21" hidden="1" customHeight="1">
      <c r="A84" s="156">
        <f>A85+A86</f>
        <v>0</v>
      </c>
      <c r="B84" s="679">
        <f>B85+B86</f>
        <v>0</v>
      </c>
      <c r="C84" s="594">
        <f>C85+C86</f>
        <v>0</v>
      </c>
      <c r="D84" s="152" t="s">
        <v>50</v>
      </c>
      <c r="E84" s="550">
        <f>E85+E86</f>
        <v>0</v>
      </c>
      <c r="F84" s="550">
        <f t="shared" si="23"/>
        <v>0</v>
      </c>
      <c r="G84" s="594">
        <f>G85+G86</f>
        <v>0</v>
      </c>
      <c r="H84" s="126">
        <f t="shared" ref="H84" si="31">H85</f>
        <v>0</v>
      </c>
      <c r="I84" s="753">
        <f>I85+I86</f>
        <v>0</v>
      </c>
      <c r="J84" s="690">
        <f t="shared" si="27"/>
        <v>0</v>
      </c>
      <c r="K84" s="690">
        <f t="shared" si="25"/>
        <v>0</v>
      </c>
    </row>
    <row r="85" spans="1:11" ht="21" hidden="1" customHeight="1">
      <c r="A85" s="156">
        <v>0</v>
      </c>
      <c r="B85" s="679">
        <v>0</v>
      </c>
      <c r="C85" s="594">
        <v>0</v>
      </c>
      <c r="D85" s="184" t="s">
        <v>801</v>
      </c>
      <c r="E85" s="550">
        <f t="shared" si="26"/>
        <v>0</v>
      </c>
      <c r="F85" s="550">
        <f t="shared" si="23"/>
        <v>0</v>
      </c>
      <c r="G85" s="594">
        <f>'21-22.勞務成本明細7級'!G86</f>
        <v>0</v>
      </c>
      <c r="H85" s="126">
        <v>0</v>
      </c>
      <c r="I85" s="753">
        <v>0</v>
      </c>
      <c r="J85" s="690">
        <f t="shared" si="27"/>
        <v>0</v>
      </c>
      <c r="K85" s="690">
        <f t="shared" si="25"/>
        <v>0</v>
      </c>
    </row>
    <row r="86" spans="1:11" ht="21" hidden="1" customHeight="1">
      <c r="A86" s="156">
        <v>0</v>
      </c>
      <c r="B86" s="679">
        <v>0</v>
      </c>
      <c r="C86" s="594">
        <v>0</v>
      </c>
      <c r="D86" s="184" t="s">
        <v>656</v>
      </c>
      <c r="E86" s="550">
        <f t="shared" si="26"/>
        <v>0</v>
      </c>
      <c r="F86" s="550">
        <f t="shared" si="23"/>
        <v>0</v>
      </c>
      <c r="G86" s="594">
        <f>'21-22.勞務成本明細7級'!G87</f>
        <v>0</v>
      </c>
      <c r="H86" s="126">
        <v>0</v>
      </c>
      <c r="I86" s="753">
        <v>0</v>
      </c>
      <c r="J86" s="690">
        <f t="shared" si="27"/>
        <v>0</v>
      </c>
      <c r="K86" s="690">
        <f t="shared" si="25"/>
        <v>0</v>
      </c>
    </row>
    <row r="87" spans="1:11" ht="21" customHeight="1">
      <c r="A87" s="156">
        <f>A88</f>
        <v>35</v>
      </c>
      <c r="B87" s="679">
        <f>B88</f>
        <v>3</v>
      </c>
      <c r="C87" s="594">
        <f>C88</f>
        <v>0</v>
      </c>
      <c r="D87" s="152" t="s">
        <v>808</v>
      </c>
      <c r="E87" s="550">
        <f>E88</f>
        <v>0</v>
      </c>
      <c r="F87" s="550">
        <f t="shared" si="23"/>
        <v>-3</v>
      </c>
      <c r="G87" s="594">
        <f>G88</f>
        <v>0</v>
      </c>
      <c r="H87" s="126">
        <v>0</v>
      </c>
      <c r="I87" s="753">
        <v>0</v>
      </c>
      <c r="J87" s="690">
        <f t="shared" si="27"/>
        <v>0</v>
      </c>
      <c r="K87" s="690">
        <f t="shared" si="25"/>
        <v>-3</v>
      </c>
    </row>
    <row r="88" spans="1:11" ht="21" customHeight="1">
      <c r="A88" s="156">
        <v>35</v>
      </c>
      <c r="B88" s="679">
        <v>3</v>
      </c>
      <c r="C88" s="594">
        <v>0</v>
      </c>
      <c r="D88" s="184" t="s">
        <v>802</v>
      </c>
      <c r="E88" s="944">
        <f>G88+H88+I88</f>
        <v>0</v>
      </c>
      <c r="F88" s="550">
        <f t="shared" si="23"/>
        <v>-3</v>
      </c>
      <c r="G88" s="594">
        <f>'21-22.勞務成本明細7級'!G89</f>
        <v>0</v>
      </c>
      <c r="H88" s="126">
        <v>0</v>
      </c>
      <c r="I88" s="753">
        <f>0</f>
        <v>0</v>
      </c>
      <c r="J88" s="690">
        <f t="shared" si="27"/>
        <v>0</v>
      </c>
      <c r="K88" s="690">
        <f t="shared" si="25"/>
        <v>-3</v>
      </c>
    </row>
    <row r="89" spans="1:11" s="683" customFormat="1" ht="42.75" hidden="1" customHeight="1">
      <c r="A89" s="369"/>
      <c r="B89" s="757">
        <f>B90</f>
        <v>0</v>
      </c>
      <c r="C89" s="686">
        <f>C90</f>
        <v>0</v>
      </c>
      <c r="D89" s="367" t="s">
        <v>681</v>
      </c>
      <c r="E89" s="550">
        <f t="shared" si="26"/>
        <v>0</v>
      </c>
      <c r="F89" s="550">
        <f t="shared" si="23"/>
        <v>0</v>
      </c>
      <c r="G89" s="594">
        <f>G90</f>
        <v>0</v>
      </c>
      <c r="H89" s="126">
        <f t="shared" ref="H89:I89" si="32">H90</f>
        <v>0</v>
      </c>
      <c r="I89" s="753">
        <f t="shared" si="32"/>
        <v>0</v>
      </c>
      <c r="J89" s="690">
        <f t="shared" si="27"/>
        <v>0</v>
      </c>
      <c r="K89" s="690">
        <f t="shared" si="25"/>
        <v>0</v>
      </c>
    </row>
    <row r="90" spans="1:11" ht="21" hidden="1" customHeight="1">
      <c r="A90" s="156"/>
      <c r="B90" s="679">
        <f>B91</f>
        <v>0</v>
      </c>
      <c r="C90" s="594">
        <f>C91</f>
        <v>0</v>
      </c>
      <c r="D90" s="152" t="s">
        <v>683</v>
      </c>
      <c r="E90" s="550">
        <f t="shared" si="26"/>
        <v>0</v>
      </c>
      <c r="F90" s="550">
        <f t="shared" si="23"/>
        <v>0</v>
      </c>
      <c r="G90" s="594">
        <f>G91</f>
        <v>0</v>
      </c>
      <c r="H90" s="126">
        <f>H91</f>
        <v>0</v>
      </c>
      <c r="I90" s="753">
        <f>I91</f>
        <v>0</v>
      </c>
      <c r="J90" s="690">
        <f t="shared" si="27"/>
        <v>0</v>
      </c>
      <c r="K90" s="690">
        <f t="shared" si="25"/>
        <v>0</v>
      </c>
    </row>
    <row r="91" spans="1:11" ht="21" hidden="1" customHeight="1">
      <c r="A91" s="156">
        <v>0</v>
      </c>
      <c r="B91" s="679">
        <v>0</v>
      </c>
      <c r="C91" s="594">
        <v>0</v>
      </c>
      <c r="D91" s="184" t="s">
        <v>926</v>
      </c>
      <c r="E91" s="550">
        <f t="shared" si="26"/>
        <v>0</v>
      </c>
      <c r="F91" s="550">
        <f t="shared" si="23"/>
        <v>0</v>
      </c>
      <c r="G91" s="594">
        <f>'21-22.勞務成本明細7級'!G92</f>
        <v>0</v>
      </c>
      <c r="H91" s="126">
        <v>0</v>
      </c>
      <c r="I91" s="753"/>
      <c r="J91" s="690">
        <f t="shared" si="27"/>
        <v>0</v>
      </c>
      <c r="K91" s="690">
        <f t="shared" si="25"/>
        <v>0</v>
      </c>
    </row>
    <row r="92" spans="1:11" ht="21" hidden="1" customHeight="1">
      <c r="A92" s="369">
        <v>0</v>
      </c>
      <c r="B92" s="757">
        <f>B93</f>
        <v>0</v>
      </c>
      <c r="C92" s="686">
        <f>C93</f>
        <v>0</v>
      </c>
      <c r="D92" s="49" t="s">
        <v>658</v>
      </c>
      <c r="E92" s="550">
        <f t="shared" si="26"/>
        <v>0</v>
      </c>
      <c r="F92" s="550">
        <f t="shared" si="23"/>
        <v>0</v>
      </c>
      <c r="G92" s="594">
        <f t="shared" ref="G92:I93" si="33">G93</f>
        <v>0</v>
      </c>
      <c r="H92" s="126">
        <f t="shared" si="33"/>
        <v>0</v>
      </c>
      <c r="I92" s="753">
        <f t="shared" si="33"/>
        <v>0</v>
      </c>
      <c r="J92" s="690">
        <f t="shared" si="27"/>
        <v>0</v>
      </c>
      <c r="K92" s="690">
        <f t="shared" si="25"/>
        <v>0</v>
      </c>
    </row>
    <row r="93" spans="1:11" ht="21" hidden="1" customHeight="1">
      <c r="A93" s="156">
        <v>0</v>
      </c>
      <c r="B93" s="679">
        <f>B94</f>
        <v>0</v>
      </c>
      <c r="C93" s="594">
        <f>C94</f>
        <v>0</v>
      </c>
      <c r="D93" s="152" t="s">
        <v>660</v>
      </c>
      <c r="E93" s="550">
        <f t="shared" si="26"/>
        <v>0</v>
      </c>
      <c r="F93" s="550">
        <f t="shared" si="23"/>
        <v>0</v>
      </c>
      <c r="G93" s="594">
        <f t="shared" si="33"/>
        <v>0</v>
      </c>
      <c r="H93" s="126"/>
      <c r="I93" s="753">
        <f t="shared" si="33"/>
        <v>0</v>
      </c>
      <c r="J93" s="690">
        <f t="shared" si="27"/>
        <v>0</v>
      </c>
      <c r="K93" s="690">
        <f t="shared" si="25"/>
        <v>0</v>
      </c>
    </row>
    <row r="94" spans="1:11" ht="21" hidden="1" customHeight="1">
      <c r="A94" s="156">
        <v>0</v>
      </c>
      <c r="B94" s="679">
        <v>0</v>
      </c>
      <c r="C94" s="594">
        <v>0</v>
      </c>
      <c r="D94" s="184" t="s">
        <v>657</v>
      </c>
      <c r="E94" s="550">
        <f t="shared" si="26"/>
        <v>0</v>
      </c>
      <c r="F94" s="550">
        <f t="shared" si="23"/>
        <v>0</v>
      </c>
      <c r="G94" s="594">
        <v>0</v>
      </c>
      <c r="H94" s="126">
        <v>0</v>
      </c>
      <c r="I94" s="753">
        <v>0</v>
      </c>
      <c r="J94" s="690">
        <f t="shared" si="27"/>
        <v>0</v>
      </c>
      <c r="K94" s="690">
        <f t="shared" si="25"/>
        <v>0</v>
      </c>
    </row>
    <row r="95" spans="1:11" s="683" customFormat="1" ht="21" customHeight="1">
      <c r="A95" s="369">
        <f t="shared" ref="A95:C96" si="34">A96</f>
        <v>14</v>
      </c>
      <c r="B95" s="757">
        <f t="shared" si="34"/>
        <v>26</v>
      </c>
      <c r="C95" s="686">
        <f t="shared" si="34"/>
        <v>14</v>
      </c>
      <c r="D95" s="49" t="s">
        <v>51</v>
      </c>
      <c r="E95" s="550">
        <f t="shared" si="26"/>
        <v>50</v>
      </c>
      <c r="F95" s="550">
        <f t="shared" si="23"/>
        <v>24</v>
      </c>
      <c r="G95" s="594">
        <f>G96</f>
        <v>0</v>
      </c>
      <c r="H95" s="126">
        <f t="shared" ref="H95:I95" si="35">H96</f>
        <v>0</v>
      </c>
      <c r="I95" s="753">
        <f t="shared" si="35"/>
        <v>50</v>
      </c>
      <c r="J95" s="690">
        <f t="shared" si="27"/>
        <v>36</v>
      </c>
      <c r="K95" s="690">
        <f t="shared" si="25"/>
        <v>24</v>
      </c>
    </row>
    <row r="96" spans="1:11" ht="21" customHeight="1">
      <c r="A96" s="156">
        <f t="shared" si="34"/>
        <v>14</v>
      </c>
      <c r="B96" s="679">
        <f t="shared" si="34"/>
        <v>26</v>
      </c>
      <c r="C96" s="594">
        <f t="shared" si="34"/>
        <v>14</v>
      </c>
      <c r="D96" s="152" t="s">
        <v>52</v>
      </c>
      <c r="E96" s="550">
        <f t="shared" si="26"/>
        <v>50</v>
      </c>
      <c r="F96" s="550">
        <f t="shared" si="23"/>
        <v>24</v>
      </c>
      <c r="G96" s="594">
        <f>G97</f>
        <v>0</v>
      </c>
      <c r="H96" s="126">
        <f>H97</f>
        <v>0</v>
      </c>
      <c r="I96" s="753">
        <f>I97</f>
        <v>50</v>
      </c>
      <c r="J96" s="690">
        <f t="shared" si="27"/>
        <v>36</v>
      </c>
      <c r="K96" s="690">
        <f t="shared" si="25"/>
        <v>24</v>
      </c>
    </row>
    <row r="97" spans="1:11" ht="21" customHeight="1">
      <c r="A97" s="156">
        <v>14</v>
      </c>
      <c r="B97" s="679">
        <v>26</v>
      </c>
      <c r="C97" s="594">
        <v>14</v>
      </c>
      <c r="D97" s="184" t="s">
        <v>53</v>
      </c>
      <c r="E97" s="550">
        <f t="shared" si="26"/>
        <v>50</v>
      </c>
      <c r="F97" s="550">
        <f t="shared" si="23"/>
        <v>24</v>
      </c>
      <c r="G97" s="594">
        <v>0</v>
      </c>
      <c r="H97" s="126">
        <v>0</v>
      </c>
      <c r="I97" s="753">
        <v>50</v>
      </c>
      <c r="J97" s="690">
        <f t="shared" si="27"/>
        <v>36</v>
      </c>
      <c r="K97" s="690">
        <f t="shared" si="25"/>
        <v>24</v>
      </c>
    </row>
    <row r="98" spans="1:11" s="683" customFormat="1" ht="21" customHeight="1" thickBot="1">
      <c r="A98" s="751">
        <f>SUM(A8+A50+A61+A73+A81+A89+A95)-1</f>
        <v>573166</v>
      </c>
      <c r="B98" s="758">
        <f>SUM(B8+B50+B61+B73+B81+B89+B92+B95)+1</f>
        <v>573265</v>
      </c>
      <c r="C98" s="688">
        <f>SUM(C8+C50+C61+C73+C81+C89+C92+C95)</f>
        <v>604841</v>
      </c>
      <c r="D98" s="684" t="s">
        <v>391</v>
      </c>
      <c r="E98" s="567">
        <f t="shared" si="26"/>
        <v>601464</v>
      </c>
      <c r="F98" s="550">
        <f t="shared" si="23"/>
        <v>28199</v>
      </c>
      <c r="G98" s="688">
        <f>SUM(G8,G50,G61,G73,G81,G89,G92,G95)</f>
        <v>601414</v>
      </c>
      <c r="H98" s="567">
        <f>SUM(H8,H50,H61,H73,H81,H89,H92,H95)</f>
        <v>0</v>
      </c>
      <c r="I98" s="755">
        <f>SUM(I8,I50,I61,I73,I81,I89,I92,I95)</f>
        <v>50</v>
      </c>
      <c r="J98" s="690">
        <f t="shared" si="27"/>
        <v>-3377</v>
      </c>
      <c r="K98" s="690">
        <f t="shared" si="25"/>
        <v>28199</v>
      </c>
    </row>
    <row r="99" spans="1:11">
      <c r="B99" s="38"/>
      <c r="C99" s="38"/>
      <c r="D99" s="685"/>
      <c r="E99" s="685"/>
      <c r="F99" s="685"/>
      <c r="G99" s="685"/>
      <c r="H99" s="685"/>
      <c r="I99" s="38"/>
    </row>
    <row r="100" spans="1:11">
      <c r="B100" s="38"/>
      <c r="C100" s="38"/>
      <c r="D100" s="685"/>
      <c r="E100" s="685"/>
      <c r="F100" s="685"/>
      <c r="G100" s="685"/>
      <c r="H100" s="685"/>
      <c r="I100" s="38"/>
    </row>
    <row r="101" spans="1:11">
      <c r="B101" s="38"/>
      <c r="C101" s="38"/>
      <c r="D101" s="685"/>
      <c r="E101" s="685"/>
      <c r="F101" s="685"/>
      <c r="G101" s="685"/>
      <c r="H101" s="685"/>
      <c r="I101" s="38"/>
    </row>
    <row r="102" spans="1:11">
      <c r="B102" s="38"/>
      <c r="C102" s="38"/>
      <c r="D102" s="685"/>
      <c r="E102" s="685"/>
      <c r="F102" s="685"/>
      <c r="G102" s="685"/>
      <c r="H102" s="685"/>
      <c r="I102" s="38"/>
    </row>
    <row r="103" spans="1:11">
      <c r="B103" s="38"/>
      <c r="C103" s="38"/>
      <c r="D103" s="685"/>
      <c r="E103" s="685"/>
      <c r="F103" s="685"/>
      <c r="G103" s="685"/>
      <c r="H103" s="685"/>
      <c r="I103" s="38"/>
    </row>
    <row r="104" spans="1:11">
      <c r="B104" s="38"/>
      <c r="C104" s="38"/>
      <c r="D104" s="685"/>
      <c r="E104" s="685"/>
      <c r="F104" s="685"/>
      <c r="G104" s="685"/>
      <c r="H104" s="685"/>
      <c r="I104" s="38"/>
    </row>
    <row r="105" spans="1:11">
      <c r="B105" s="38"/>
      <c r="C105" s="38"/>
      <c r="D105" s="685"/>
      <c r="E105" s="685"/>
      <c r="F105" s="685"/>
      <c r="G105" s="685"/>
      <c r="H105" s="685"/>
      <c r="I105" s="38"/>
    </row>
  </sheetData>
  <autoFilter ref="A7:K98"/>
  <mergeCells count="9">
    <mergeCell ref="B1:I1"/>
    <mergeCell ref="B2:I2"/>
    <mergeCell ref="B3:I3"/>
    <mergeCell ref="B4:I4"/>
    <mergeCell ref="C6:C7"/>
    <mergeCell ref="B6:B7"/>
    <mergeCell ref="D6:D7"/>
    <mergeCell ref="B5:I5"/>
    <mergeCell ref="E6:I6"/>
  </mergeCells>
  <phoneticPr fontId="2" type="noConversion"/>
  <printOptions horizontalCentered="1"/>
  <pageMargins left="0.6692913385826772" right="0.6692913385826772" top="0.59055118110236227" bottom="0.78740157480314965" header="0.70866141732283472" footer="0.51181102362204722"/>
  <pageSetup paperSize="9" scale="74" firstPageNumber="40" orientation="portrait" blackAndWhite="1" useFirstPageNumber="1" r:id="rId1"/>
  <headerFooter alignWithMargins="0">
    <oddFooter>&amp;C&amp;"Arial Unicode MS,標準"&amp;P</oddFooter>
  </headerFooter>
  <rowBreaks count="1" manualBreakCount="1">
    <brk id="45" min="1" max="8" man="1"/>
  </rowBreaks>
  <legacyDrawing r:id="rId2"/>
</worksheet>
</file>

<file path=xl/worksheets/sheet46.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J26" sqref="J26"/>
    </sheetView>
  </sheetViews>
  <sheetFormatPr defaultColWidth="9" defaultRowHeight="16.5"/>
  <cols>
    <col min="1" max="8" width="9" style="1"/>
    <col min="9" max="9" width="14.125" style="1" customWidth="1"/>
    <col min="10" max="16384" width="9" style="1"/>
  </cols>
  <sheetData>
    <row r="16" spans="1:9" ht="50.25">
      <c r="A16" s="995" t="s">
        <v>690</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firstPageNumber="43" orientation="portrait" useFirstPageNumber="1" r:id="rId1"/>
  <headerFooter alignWithMargins="0">
    <oddFooter>&amp;C&amp;"Arial Unicode MS,標準"&amp;P</oddFooter>
  </headerFooter>
</worksheet>
</file>

<file path=xl/worksheets/sheet47.xml><?xml version="1.0" encoding="utf-8"?>
<worksheet xmlns="http://schemas.openxmlformats.org/spreadsheetml/2006/main" xmlns:r="http://schemas.openxmlformats.org/officeDocument/2006/relationships">
  <sheetPr codeName="Sheet45"/>
  <dimension ref="A16:I16"/>
  <sheetViews>
    <sheetView topLeftCell="A10" zoomScale="50" workbookViewId="0">
      <selection activeCell="W41" sqref="V41:W41"/>
    </sheetView>
  </sheetViews>
  <sheetFormatPr defaultColWidth="9" defaultRowHeight="16.5"/>
  <cols>
    <col min="1" max="8" width="9" style="1"/>
    <col min="9" max="9" width="14.125" style="1" customWidth="1"/>
    <col min="10" max="16384" width="9" style="1"/>
  </cols>
  <sheetData>
    <row r="16" spans="1:9" ht="50.25">
      <c r="A16" s="995" t="s">
        <v>364</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firstPageNumber="30" orientation="portrait" r:id="rId1"/>
  <headerFooter alignWithMargins="0"/>
</worksheet>
</file>

<file path=xl/worksheets/sheet48.xml><?xml version="1.0" encoding="utf-8"?>
<worksheet xmlns="http://schemas.openxmlformats.org/spreadsheetml/2006/main" xmlns:r="http://schemas.openxmlformats.org/officeDocument/2006/relationships">
  <dimension ref="A16:I16"/>
  <sheetViews>
    <sheetView zoomScale="50" workbookViewId="0">
      <selection activeCell="W36" sqref="W36"/>
    </sheetView>
  </sheetViews>
  <sheetFormatPr defaultColWidth="9" defaultRowHeight="16.5"/>
  <cols>
    <col min="1" max="8" width="9" style="1"/>
    <col min="9" max="9" width="14.125" style="1" customWidth="1"/>
    <col min="10" max="16384" width="9" style="1"/>
  </cols>
  <sheetData>
    <row r="16" spans="1:9" ht="50.25">
      <c r="A16" s="995" t="s">
        <v>677</v>
      </c>
      <c r="B16" s="995"/>
      <c r="C16" s="995"/>
      <c r="D16" s="995"/>
      <c r="E16" s="995"/>
      <c r="F16" s="995"/>
      <c r="G16" s="995"/>
      <c r="H16" s="995"/>
      <c r="I16" s="995"/>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42" orientation="portrait" useFirstPageNumber="1" r:id="rId1"/>
  <headerFooter alignWithMargins="0">
    <oddFooter>&amp;C&amp;"Arial,標準"&amp;P</oddFooter>
  </headerFooter>
</worksheet>
</file>

<file path=xl/worksheets/sheet49.xml><?xml version="1.0" encoding="utf-8"?>
<worksheet xmlns="http://schemas.openxmlformats.org/spreadsheetml/2006/main" xmlns:r="http://schemas.openxmlformats.org/officeDocument/2006/relationships">
  <sheetPr codeName="Sheet46"/>
  <dimension ref="A1:H20"/>
  <sheetViews>
    <sheetView workbookViewId="0">
      <selection activeCell="D14" sqref="D14"/>
    </sheetView>
  </sheetViews>
  <sheetFormatPr defaultColWidth="9" defaultRowHeight="16.5"/>
  <cols>
    <col min="1" max="1" width="11.375" style="1" customWidth="1"/>
    <col min="2" max="2" width="16.5" style="1" customWidth="1"/>
    <col min="3" max="3" width="13" style="1" customWidth="1"/>
    <col min="4" max="4" width="10" style="1" customWidth="1"/>
    <col min="5" max="5" width="9.875" style="1" customWidth="1"/>
    <col min="6" max="6" width="9.75" style="1" customWidth="1"/>
    <col min="7" max="7" width="9.625" style="1" bestFit="1" customWidth="1"/>
    <col min="8" max="8" width="12.75" style="1" customWidth="1"/>
    <col min="9" max="16384" width="9" style="1"/>
  </cols>
  <sheetData>
    <row r="1" spans="1:8" s="118" customFormat="1" ht="25.5">
      <c r="A1" s="979" t="s">
        <v>220</v>
      </c>
      <c r="B1" s="979"/>
      <c r="C1" s="979"/>
      <c r="D1" s="979"/>
      <c r="E1" s="979"/>
      <c r="F1" s="979"/>
      <c r="G1" s="979"/>
      <c r="H1" s="979"/>
    </row>
    <row r="2" spans="1:8" s="127" customFormat="1" ht="21">
      <c r="A2" s="1313" t="s">
        <v>76</v>
      </c>
      <c r="B2" s="1313"/>
      <c r="C2" s="1313"/>
      <c r="D2" s="1313"/>
      <c r="E2" s="1313"/>
      <c r="F2" s="1313"/>
      <c r="G2" s="1313"/>
      <c r="H2" s="1313"/>
    </row>
    <row r="3" spans="1:8" s="127" customFormat="1" ht="21">
      <c r="A3" s="988" t="s">
        <v>580</v>
      </c>
      <c r="B3" s="1174"/>
      <c r="C3" s="1174"/>
      <c r="D3" s="1174"/>
      <c r="E3" s="1174"/>
      <c r="F3" s="1174"/>
      <c r="G3" s="1174"/>
      <c r="H3" s="1174"/>
    </row>
    <row r="4" spans="1:8" s="128" customFormat="1" ht="19.5">
      <c r="A4" s="1256" t="s">
        <v>774</v>
      </c>
      <c r="B4" s="1256"/>
      <c r="C4" s="1256"/>
      <c r="D4" s="1256"/>
      <c r="E4" s="1256"/>
      <c r="F4" s="1256"/>
      <c r="G4" s="1256"/>
      <c r="H4" s="1256"/>
    </row>
    <row r="5" spans="1:8" ht="17.25" thickBot="1">
      <c r="A5" s="1312" t="s">
        <v>581</v>
      </c>
      <c r="B5" s="1312"/>
      <c r="C5" s="1312"/>
      <c r="D5" s="1312"/>
      <c r="E5" s="1312"/>
      <c r="F5" s="1312"/>
      <c r="G5" s="1312"/>
      <c r="H5" s="1312"/>
    </row>
    <row r="6" spans="1:8" ht="16.5" customHeight="1">
      <c r="A6" s="1182" t="s">
        <v>195</v>
      </c>
      <c r="B6" s="1283" t="s">
        <v>196</v>
      </c>
      <c r="C6" s="1283" t="s">
        <v>217</v>
      </c>
      <c r="D6" s="1283" t="s">
        <v>197</v>
      </c>
      <c r="E6" s="1307" t="s">
        <v>198</v>
      </c>
      <c r="F6" s="1308"/>
      <c r="G6" s="1309"/>
      <c r="H6" s="1310" t="s">
        <v>165</v>
      </c>
    </row>
    <row r="7" spans="1:8" ht="33" customHeight="1">
      <c r="A7" s="1183"/>
      <c r="B7" s="1284"/>
      <c r="C7" s="1284"/>
      <c r="D7" s="1284"/>
      <c r="E7" s="141" t="s">
        <v>582</v>
      </c>
      <c r="F7" s="119" t="s">
        <v>199</v>
      </c>
      <c r="G7" s="119" t="s">
        <v>422</v>
      </c>
      <c r="H7" s="1311"/>
    </row>
    <row r="8" spans="1:8" ht="50.1" customHeight="1">
      <c r="A8" s="428"/>
      <c r="B8" s="387"/>
      <c r="C8" s="387"/>
      <c r="D8" s="372"/>
      <c r="E8" s="372"/>
      <c r="F8" s="372"/>
      <c r="G8" s="372"/>
      <c r="H8" s="429"/>
    </row>
    <row r="9" spans="1:8" ht="50.1" customHeight="1">
      <c r="A9" s="209"/>
      <c r="B9" s="185"/>
      <c r="C9" s="387"/>
      <c r="D9" s="372"/>
      <c r="E9" s="372"/>
      <c r="F9" s="372"/>
      <c r="G9" s="372"/>
      <c r="H9" s="332"/>
    </row>
    <row r="10" spans="1:8" ht="50.1" customHeight="1">
      <c r="A10" s="209"/>
      <c r="B10" s="185"/>
      <c r="C10" s="387"/>
      <c r="D10" s="372"/>
      <c r="E10" s="372"/>
      <c r="F10" s="372"/>
      <c r="G10" s="372"/>
      <c r="H10" s="332"/>
    </row>
    <row r="11" spans="1:8" ht="50.1" customHeight="1">
      <c r="A11" s="209"/>
      <c r="B11" s="185"/>
      <c r="C11" s="387"/>
      <c r="D11" s="372"/>
      <c r="E11" s="372"/>
      <c r="F11" s="372"/>
      <c r="G11" s="372"/>
      <c r="H11" s="332"/>
    </row>
    <row r="12" spans="1:8" ht="50.1" customHeight="1">
      <c r="A12" s="209"/>
      <c r="B12" s="185"/>
      <c r="C12" s="387"/>
      <c r="D12" s="372"/>
      <c r="E12" s="372"/>
      <c r="F12" s="372"/>
      <c r="G12" s="372"/>
      <c r="H12" s="332"/>
    </row>
    <row r="13" spans="1:8" ht="50.25" customHeight="1">
      <c r="A13" s="209"/>
      <c r="B13" s="185"/>
      <c r="C13" s="186"/>
      <c r="D13" s="372"/>
      <c r="E13" s="372"/>
      <c r="F13" s="372"/>
      <c r="G13" s="372"/>
      <c r="H13" s="95"/>
    </row>
    <row r="14" spans="1:8" ht="50.25" customHeight="1">
      <c r="A14" s="209"/>
      <c r="B14" s="185"/>
      <c r="C14" s="186"/>
      <c r="D14" s="187"/>
      <c r="E14" s="187"/>
      <c r="F14" s="187"/>
      <c r="G14" s="187"/>
      <c r="H14" s="95"/>
    </row>
    <row r="15" spans="1:8" ht="50.25" customHeight="1">
      <c r="A15" s="209"/>
      <c r="B15" s="185"/>
      <c r="C15" s="186"/>
      <c r="D15" s="187"/>
      <c r="E15" s="187"/>
      <c r="F15" s="187"/>
      <c r="G15" s="187"/>
      <c r="H15" s="95"/>
    </row>
    <row r="16" spans="1:8" ht="50.25" customHeight="1">
      <c r="A16" s="209"/>
      <c r="B16" s="185"/>
      <c r="C16" s="186"/>
      <c r="D16" s="187"/>
      <c r="E16" s="187"/>
      <c r="F16" s="187"/>
      <c r="G16" s="187"/>
      <c r="H16" s="95"/>
    </row>
    <row r="17" spans="1:8" ht="50.25" customHeight="1">
      <c r="A17" s="209"/>
      <c r="B17" s="185"/>
      <c r="C17" s="186"/>
      <c r="D17" s="187"/>
      <c r="E17" s="187"/>
      <c r="F17" s="187"/>
      <c r="G17" s="187"/>
      <c r="H17" s="95"/>
    </row>
    <row r="18" spans="1:8" ht="50.25" customHeight="1">
      <c r="A18" s="209"/>
      <c r="B18" s="185"/>
      <c r="C18" s="186"/>
      <c r="D18" s="187"/>
      <c r="E18" s="187"/>
      <c r="F18" s="187"/>
      <c r="G18" s="187"/>
      <c r="H18" s="95"/>
    </row>
    <row r="19" spans="1:8" ht="69" customHeight="1">
      <c r="A19" s="209"/>
      <c r="B19" s="185"/>
      <c r="C19" s="186"/>
      <c r="D19" s="187"/>
      <c r="E19" s="187"/>
      <c r="F19" s="187"/>
      <c r="G19" s="187"/>
      <c r="H19" s="95"/>
    </row>
    <row r="20" spans="1:8" s="290" customFormat="1" ht="50.25" customHeight="1" thickBot="1">
      <c r="A20" s="333" t="s">
        <v>148</v>
      </c>
      <c r="B20" s="334"/>
      <c r="C20" s="334"/>
      <c r="D20" s="335">
        <f>SUM(D8:D19)</f>
        <v>0</v>
      </c>
      <c r="E20" s="335">
        <f>SUM(E8:E19)</f>
        <v>0</v>
      </c>
      <c r="F20" s="335">
        <f>SUM(F8:F19)</f>
        <v>0</v>
      </c>
      <c r="G20" s="335">
        <f>SUM(G8:G19)</f>
        <v>0</v>
      </c>
      <c r="H20" s="336"/>
    </row>
  </sheetData>
  <mergeCells count="11">
    <mergeCell ref="A6:A7"/>
    <mergeCell ref="E6:G6"/>
    <mergeCell ref="H6:H7"/>
    <mergeCell ref="A1:H1"/>
    <mergeCell ref="A5:H5"/>
    <mergeCell ref="A3:H3"/>
    <mergeCell ref="A4:H4"/>
    <mergeCell ref="B6:B7"/>
    <mergeCell ref="C6:C7"/>
    <mergeCell ref="D6:D7"/>
    <mergeCell ref="A2:H2"/>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9" orientation="portrait" useFirstPageNumber="1" r:id="rId1"/>
  <headerFooter alignWithMargins="0">
    <oddFooter>&amp;C&amp;"Arial Unicode MS,標準"&amp;P</oddFooter>
  </headerFooter>
</worksheet>
</file>

<file path=xl/worksheets/sheet5.xml><?xml version="1.0" encoding="utf-8"?>
<worksheet xmlns="http://schemas.openxmlformats.org/spreadsheetml/2006/main" xmlns:r="http://schemas.openxmlformats.org/officeDocument/2006/relationships">
  <sheetPr codeName="Sheet6">
    <tabColor rgb="FFFFFFCC"/>
  </sheetPr>
  <dimension ref="A1:H47"/>
  <sheetViews>
    <sheetView topLeftCell="A22" zoomScaleNormal="100" workbookViewId="0">
      <selection activeCell="I39" sqref="I39"/>
    </sheetView>
  </sheetViews>
  <sheetFormatPr defaultColWidth="11.625" defaultRowHeight="16.5"/>
  <cols>
    <col min="1" max="1" width="21.75" style="1" customWidth="1"/>
    <col min="2" max="6" width="11.625" style="1" customWidth="1"/>
    <col min="7" max="16384" width="11.625" style="1"/>
  </cols>
  <sheetData>
    <row r="1" spans="1:8" ht="25.5">
      <c r="A1" s="979" t="s">
        <v>144</v>
      </c>
      <c r="B1" s="979"/>
      <c r="C1" s="979"/>
      <c r="D1" s="979"/>
      <c r="E1" s="979"/>
      <c r="F1" s="979"/>
      <c r="G1" s="341"/>
      <c r="H1" s="341"/>
    </row>
    <row r="2" spans="1:8" ht="21">
      <c r="A2" s="980" t="s">
        <v>145</v>
      </c>
      <c r="B2" s="980"/>
      <c r="C2" s="980"/>
      <c r="D2" s="980"/>
      <c r="E2" s="980"/>
      <c r="F2" s="980"/>
      <c r="G2" s="339"/>
      <c r="H2" s="339"/>
    </row>
    <row r="3" spans="1:8" ht="21">
      <c r="A3" s="981" t="s">
        <v>250</v>
      </c>
      <c r="B3" s="981"/>
      <c r="C3" s="981"/>
      <c r="D3" s="981"/>
      <c r="E3" s="981"/>
      <c r="F3" s="981"/>
      <c r="G3" s="340"/>
      <c r="H3" s="340"/>
    </row>
    <row r="4" spans="1:8" ht="19.5" customHeight="1">
      <c r="A4" s="982" t="s">
        <v>1100</v>
      </c>
      <c r="B4" s="982"/>
      <c r="C4" s="982"/>
      <c r="D4" s="982"/>
      <c r="E4" s="982"/>
      <c r="F4" s="982"/>
      <c r="G4" s="5"/>
      <c r="H4" s="5"/>
    </row>
    <row r="5" spans="1:8" ht="19.5" customHeight="1">
      <c r="A5" s="5"/>
      <c r="B5" s="5"/>
      <c r="C5" s="5"/>
      <c r="D5" s="5"/>
      <c r="E5" s="5"/>
      <c r="F5" s="5"/>
      <c r="G5" s="5"/>
      <c r="H5" s="5"/>
    </row>
    <row r="6" spans="1:8" ht="21">
      <c r="A6" s="981" t="s">
        <v>1017</v>
      </c>
      <c r="B6" s="981"/>
      <c r="C6" s="981"/>
      <c r="D6" s="981"/>
      <c r="E6" s="981"/>
      <c r="F6" s="981"/>
    </row>
    <row r="32" ht="15.6" hidden="1" customHeight="1"/>
    <row r="33" spans="1:6">
      <c r="A33" s="993" t="s">
        <v>631</v>
      </c>
      <c r="B33" s="993"/>
      <c r="C33" s="993"/>
      <c r="D33" s="993"/>
      <c r="E33" s="993"/>
      <c r="F33" s="993"/>
    </row>
    <row r="34" spans="1:6" ht="1.5" customHeight="1"/>
    <row r="35" spans="1:6" s="482" customFormat="1" ht="35.25" customHeight="1">
      <c r="A35" s="624" t="s">
        <v>633</v>
      </c>
      <c r="B35" s="625" t="s">
        <v>1104</v>
      </c>
      <c r="C35" s="625" t="s">
        <v>1105</v>
      </c>
      <c r="D35" s="625" t="s">
        <v>1106</v>
      </c>
      <c r="E35" s="625" t="s">
        <v>1107</v>
      </c>
      <c r="F35" s="625" t="s">
        <v>1102</v>
      </c>
    </row>
    <row r="36" spans="1:6" s="524" customFormat="1" ht="19.149999999999999" customHeight="1">
      <c r="A36" s="626" t="s">
        <v>420</v>
      </c>
      <c r="B36" s="419"/>
      <c r="C36" s="419"/>
      <c r="D36" s="419"/>
      <c r="E36" s="419"/>
      <c r="F36" s="419"/>
    </row>
    <row r="37" spans="1:6" s="524" customFormat="1" ht="19.149999999999999" customHeight="1">
      <c r="A37" s="419" t="s">
        <v>610</v>
      </c>
      <c r="B37" s="627">
        <v>608153</v>
      </c>
      <c r="C37" s="627">
        <v>621559</v>
      </c>
      <c r="D37" s="627">
        <v>574755</v>
      </c>
      <c r="E37" s="627">
        <v>620762</v>
      </c>
      <c r="F37" s="627">
        <f>'15.收支預計表'!D8</f>
        <v>612092</v>
      </c>
    </row>
    <row r="38" spans="1:6" s="524" customFormat="1" ht="19.149999999999999" customHeight="1">
      <c r="A38" s="419" t="s">
        <v>611</v>
      </c>
      <c r="B38" s="627">
        <v>3190</v>
      </c>
      <c r="C38" s="627">
        <v>17523</v>
      </c>
      <c r="D38" s="627">
        <v>9781</v>
      </c>
      <c r="E38" s="627">
        <v>3870</v>
      </c>
      <c r="F38" s="627">
        <f>'15.收支預計表'!D20</f>
        <v>4550</v>
      </c>
    </row>
    <row r="39" spans="1:6" s="524" customFormat="1" ht="19.149999999999999" customHeight="1">
      <c r="A39" s="628" t="s">
        <v>421</v>
      </c>
      <c r="B39" s="629">
        <f>SUM(B37:B38)</f>
        <v>611343</v>
      </c>
      <c r="C39" s="629">
        <f>SUM(C37:C38)</f>
        <v>639082</v>
      </c>
      <c r="D39" s="629">
        <f>SUM(D37:D38)</f>
        <v>584536</v>
      </c>
      <c r="E39" s="629">
        <f>SUM(E37:E38)</f>
        <v>624632</v>
      </c>
      <c r="F39" s="629">
        <f>SUM(F37:F38)</f>
        <v>616642</v>
      </c>
    </row>
    <row r="40" spans="1:6" s="524" customFormat="1" ht="19.149999999999999" customHeight="1">
      <c r="A40" s="626" t="s">
        <v>608</v>
      </c>
      <c r="B40" s="419"/>
      <c r="C40" s="419"/>
      <c r="D40" s="419"/>
      <c r="E40" s="419"/>
      <c r="F40" s="419"/>
    </row>
    <row r="41" spans="1:6" s="524" customFormat="1" ht="19.149999999999999" customHeight="1">
      <c r="A41" s="419" t="s">
        <v>612</v>
      </c>
      <c r="B41" s="627">
        <v>561307</v>
      </c>
      <c r="C41" s="627">
        <v>573152</v>
      </c>
      <c r="D41" s="627">
        <v>573239</v>
      </c>
      <c r="E41" s="627">
        <v>604827</v>
      </c>
      <c r="F41" s="627">
        <f>'15.收支預計表'!D14</f>
        <v>601414</v>
      </c>
    </row>
    <row r="42" spans="1:6" s="524" customFormat="1" ht="19.149999999999999" customHeight="1">
      <c r="A42" s="419" t="s">
        <v>613</v>
      </c>
      <c r="B42" s="627">
        <v>59</v>
      </c>
      <c r="C42" s="627">
        <v>14</v>
      </c>
      <c r="D42" s="627">
        <v>26</v>
      </c>
      <c r="E42" s="627">
        <v>14</v>
      </c>
      <c r="F42" s="627">
        <f>'15.收支預計表'!D28</f>
        <v>50</v>
      </c>
    </row>
    <row r="43" spans="1:6" s="524" customFormat="1" ht="19.149999999999999" customHeight="1">
      <c r="A43" s="628" t="s">
        <v>609</v>
      </c>
      <c r="B43" s="629">
        <f>SUM(B41:B42)</f>
        <v>561366</v>
      </c>
      <c r="C43" s="629">
        <f>SUM(C41:C42)</f>
        <v>573166</v>
      </c>
      <c r="D43" s="629">
        <f>SUM(D41:D42)</f>
        <v>573265</v>
      </c>
      <c r="E43" s="629">
        <f>SUM(E41:E42)</f>
        <v>604841</v>
      </c>
      <c r="F43" s="629">
        <f>SUM(F41:F42)</f>
        <v>601464</v>
      </c>
    </row>
    <row r="44" spans="1:6" s="524" customFormat="1" ht="19.149999999999999" customHeight="1">
      <c r="A44" s="628" t="s">
        <v>614</v>
      </c>
      <c r="B44" s="629">
        <f>B39-B43-1</f>
        <v>49976</v>
      </c>
      <c r="C44" s="629">
        <f>C39-C43</f>
        <v>65916</v>
      </c>
      <c r="D44" s="629">
        <f>D39-D43</f>
        <v>11271</v>
      </c>
      <c r="E44" s="629">
        <f>E39-E43</f>
        <v>19791</v>
      </c>
      <c r="F44" s="629">
        <f>F39-F43</f>
        <v>15178</v>
      </c>
    </row>
    <row r="45" spans="1:6" s="524" customFormat="1" ht="33.6" customHeight="1">
      <c r="A45" s="992" t="s">
        <v>1108</v>
      </c>
      <c r="B45" s="992"/>
      <c r="C45" s="992"/>
      <c r="D45" s="992"/>
      <c r="E45" s="992"/>
      <c r="F45" s="992"/>
    </row>
    <row r="46" spans="1:6">
      <c r="B46" s="346">
        <f>B39/1000</f>
        <v>611.34299999999996</v>
      </c>
      <c r="C46" s="346">
        <f>C39/1000</f>
        <v>639.08199999999999</v>
      </c>
      <c r="D46" s="346">
        <f>D39/1000</f>
        <v>584.53599999999994</v>
      </c>
      <c r="E46" s="346">
        <f>E39/1000</f>
        <v>624.63199999999995</v>
      </c>
      <c r="F46" s="346">
        <f>F39/1000</f>
        <v>616.64200000000005</v>
      </c>
    </row>
    <row r="47" spans="1:6">
      <c r="B47" s="346">
        <f>B43/1000</f>
        <v>561.36599999999999</v>
      </c>
      <c r="C47" s="346">
        <f>C43/1000</f>
        <v>573.16600000000005</v>
      </c>
      <c r="D47" s="346">
        <f>D43/1000</f>
        <v>573.26499999999999</v>
      </c>
      <c r="E47" s="346">
        <f>E43/1000</f>
        <v>604.84100000000001</v>
      </c>
      <c r="F47" s="346">
        <f>F43/1000</f>
        <v>601.46400000000006</v>
      </c>
    </row>
  </sheetData>
  <mergeCells count="7">
    <mergeCell ref="A45:F45"/>
    <mergeCell ref="A33:F33"/>
    <mergeCell ref="A2:F2"/>
    <mergeCell ref="A1:F1"/>
    <mergeCell ref="A6:F6"/>
    <mergeCell ref="A4:F4"/>
    <mergeCell ref="A3:F3"/>
  </mergeCells>
  <phoneticPr fontId="3" type="noConversion"/>
  <printOptions horizontalCentered="1"/>
  <pageMargins left="0.98425196850393704" right="0.98425196850393704" top="0.59055118110236227" bottom="0.78740157480314965" header="0.51181102362204722" footer="0.51181102362204722"/>
  <pageSetup paperSize="9" scale="97" firstPageNumber="12" orientation="portrait" blackAndWhite="1" useFirstPageNumber="1" r:id="rId1"/>
  <headerFooter scaleWithDoc="0" alignWithMargins="0">
    <oddFooter>&amp;C&amp;"Arial,標準"&amp;P</oddFooter>
  </headerFooter>
  <drawing r:id="rId2"/>
</worksheet>
</file>

<file path=xl/worksheets/sheet50.xml><?xml version="1.0" encoding="utf-8"?>
<worksheet xmlns="http://schemas.openxmlformats.org/spreadsheetml/2006/main" xmlns:r="http://schemas.openxmlformats.org/officeDocument/2006/relationships">
  <sheetPr codeName="Sheet47"/>
  <dimension ref="A1:H20"/>
  <sheetViews>
    <sheetView workbookViewId="0">
      <selection activeCell="J13" sqref="J13"/>
    </sheetView>
  </sheetViews>
  <sheetFormatPr defaultColWidth="9" defaultRowHeight="16.5"/>
  <cols>
    <col min="1" max="1" width="11.375" style="1" customWidth="1"/>
    <col min="2" max="2" width="16.5" style="1" customWidth="1"/>
    <col min="3" max="3" width="13" style="1" customWidth="1"/>
    <col min="4" max="4" width="10" style="1" customWidth="1"/>
    <col min="5" max="5" width="9.875" style="1" customWidth="1"/>
    <col min="6" max="6" width="9.75" style="1" customWidth="1"/>
    <col min="7" max="7" width="9.625" style="1" bestFit="1" customWidth="1"/>
    <col min="8" max="8" width="12.75" style="1" customWidth="1"/>
    <col min="9" max="16384" width="9" style="1"/>
  </cols>
  <sheetData>
    <row r="1" spans="1:8" s="118" customFormat="1" ht="25.5">
      <c r="A1" s="979" t="s">
        <v>220</v>
      </c>
      <c r="B1" s="979"/>
      <c r="C1" s="979"/>
      <c r="D1" s="979"/>
      <c r="E1" s="979"/>
      <c r="F1" s="979"/>
      <c r="G1" s="979"/>
      <c r="H1" s="979"/>
    </row>
    <row r="2" spans="1:8" s="127" customFormat="1" ht="21">
      <c r="A2" s="1313" t="s">
        <v>76</v>
      </c>
      <c r="B2" s="1313"/>
      <c r="C2" s="1313"/>
      <c r="D2" s="1313"/>
      <c r="E2" s="1313"/>
      <c r="F2" s="1313"/>
      <c r="G2" s="1313"/>
      <c r="H2" s="1313"/>
    </row>
    <row r="3" spans="1:8" s="127" customFormat="1" ht="21">
      <c r="A3" s="988" t="s">
        <v>465</v>
      </c>
      <c r="B3" s="1174"/>
      <c r="C3" s="1174"/>
      <c r="D3" s="1174"/>
      <c r="E3" s="1174"/>
      <c r="F3" s="1174"/>
      <c r="G3" s="1174"/>
      <c r="H3" s="1174"/>
    </row>
    <row r="4" spans="1:8" s="128" customFormat="1" ht="19.5">
      <c r="A4" s="1256" t="s">
        <v>774</v>
      </c>
      <c r="B4" s="1256"/>
      <c r="C4" s="1256"/>
      <c r="D4" s="1256"/>
      <c r="E4" s="1256"/>
      <c r="F4" s="1256"/>
      <c r="G4" s="1256"/>
      <c r="H4" s="1256"/>
    </row>
    <row r="5" spans="1:8" ht="17.25" thickBot="1">
      <c r="A5" s="1312" t="s">
        <v>359</v>
      </c>
      <c r="B5" s="1312"/>
      <c r="C5" s="1312"/>
      <c r="D5" s="1312"/>
      <c r="E5" s="1312"/>
      <c r="F5" s="1312"/>
      <c r="G5" s="1312"/>
      <c r="H5" s="1312"/>
    </row>
    <row r="6" spans="1:8" ht="16.5" customHeight="1">
      <c r="A6" s="1182" t="s">
        <v>195</v>
      </c>
      <c r="B6" s="1283" t="s">
        <v>196</v>
      </c>
      <c r="C6" s="1283" t="s">
        <v>217</v>
      </c>
      <c r="D6" s="1283" t="s">
        <v>197</v>
      </c>
      <c r="E6" s="1307" t="s">
        <v>198</v>
      </c>
      <c r="F6" s="1308"/>
      <c r="G6" s="1309"/>
      <c r="H6" s="1310" t="s">
        <v>165</v>
      </c>
    </row>
    <row r="7" spans="1:8" ht="33" customHeight="1">
      <c r="A7" s="1183"/>
      <c r="B7" s="1284"/>
      <c r="C7" s="1284"/>
      <c r="D7" s="1284"/>
      <c r="E7" s="141" t="s">
        <v>360</v>
      </c>
      <c r="F7" s="119" t="s">
        <v>199</v>
      </c>
      <c r="G7" s="119" t="s">
        <v>422</v>
      </c>
      <c r="H7" s="1311"/>
    </row>
    <row r="8" spans="1:8" ht="50.1" customHeight="1">
      <c r="A8" s="428"/>
      <c r="B8" s="387"/>
      <c r="C8" s="387"/>
      <c r="D8" s="372"/>
      <c r="E8" s="372"/>
      <c r="F8" s="372"/>
      <c r="G8" s="372"/>
      <c r="H8" s="429"/>
    </row>
    <row r="9" spans="1:8" ht="50.25" customHeight="1">
      <c r="A9" s="209"/>
      <c r="B9" s="185"/>
      <c r="C9" s="186"/>
      <c r="D9" s="372"/>
      <c r="E9" s="372"/>
      <c r="F9" s="372"/>
      <c r="G9" s="372"/>
      <c r="H9" s="95"/>
    </row>
    <row r="10" spans="1:8" ht="50.25" customHeight="1">
      <c r="A10" s="209"/>
      <c r="B10" s="185"/>
      <c r="C10" s="186"/>
      <c r="D10" s="187"/>
      <c r="E10" s="187"/>
      <c r="F10" s="187"/>
      <c r="G10" s="187"/>
      <c r="H10" s="95"/>
    </row>
    <row r="11" spans="1:8" ht="50.25" customHeight="1">
      <c r="A11" s="209"/>
      <c r="B11" s="185"/>
      <c r="C11" s="186"/>
      <c r="D11" s="187"/>
      <c r="E11" s="187"/>
      <c r="F11" s="187"/>
      <c r="G11" s="187"/>
      <c r="H11" s="95"/>
    </row>
    <row r="12" spans="1:8" ht="50.25" customHeight="1">
      <c r="A12" s="209"/>
      <c r="B12" s="185"/>
      <c r="C12" s="186"/>
      <c r="D12" s="187"/>
      <c r="E12" s="187"/>
      <c r="F12" s="187"/>
      <c r="G12" s="187"/>
      <c r="H12" s="95"/>
    </row>
    <row r="13" spans="1:8" ht="50.25" customHeight="1">
      <c r="A13" s="209"/>
      <c r="B13" s="185"/>
      <c r="C13" s="186"/>
      <c r="D13" s="187"/>
      <c r="E13" s="187"/>
      <c r="F13" s="187"/>
      <c r="G13" s="187"/>
      <c r="H13" s="95"/>
    </row>
    <row r="14" spans="1:8" ht="50.25" customHeight="1">
      <c r="A14" s="209"/>
      <c r="B14" s="185"/>
      <c r="C14" s="186"/>
      <c r="D14" s="187"/>
      <c r="E14" s="187"/>
      <c r="F14" s="187"/>
      <c r="G14" s="187"/>
      <c r="H14" s="95"/>
    </row>
    <row r="15" spans="1:8" ht="50.25" customHeight="1">
      <c r="A15" s="209"/>
      <c r="B15" s="185"/>
      <c r="C15" s="186"/>
      <c r="D15" s="187"/>
      <c r="E15" s="187"/>
      <c r="F15" s="187"/>
      <c r="G15" s="187"/>
      <c r="H15" s="95"/>
    </row>
    <row r="16" spans="1:8" ht="50.25" customHeight="1">
      <c r="A16" s="209"/>
      <c r="B16" s="185"/>
      <c r="C16" s="186"/>
      <c r="D16" s="187"/>
      <c r="E16" s="187"/>
      <c r="F16" s="187"/>
      <c r="G16" s="187"/>
      <c r="H16" s="95"/>
    </row>
    <row r="17" spans="1:8" ht="50.25" customHeight="1">
      <c r="A17" s="209"/>
      <c r="B17" s="185"/>
      <c r="C17" s="186"/>
      <c r="D17" s="187"/>
      <c r="E17" s="187"/>
      <c r="F17" s="187"/>
      <c r="G17" s="187"/>
      <c r="H17" s="95"/>
    </row>
    <row r="18" spans="1:8" ht="50.25" customHeight="1">
      <c r="A18" s="209"/>
      <c r="B18" s="185"/>
      <c r="C18" s="186"/>
      <c r="D18" s="187"/>
      <c r="E18" s="187"/>
      <c r="F18" s="187"/>
      <c r="G18" s="187"/>
      <c r="H18" s="95"/>
    </row>
    <row r="19" spans="1:8" ht="69" customHeight="1">
      <c r="A19" s="209"/>
      <c r="B19" s="185"/>
      <c r="C19" s="186"/>
      <c r="D19" s="187"/>
      <c r="E19" s="187"/>
      <c r="F19" s="187"/>
      <c r="G19" s="187"/>
      <c r="H19" s="95"/>
    </row>
    <row r="20" spans="1:8" s="290" customFormat="1" ht="50.25" customHeight="1" thickBot="1">
      <c r="A20" s="333" t="s">
        <v>148</v>
      </c>
      <c r="B20" s="334"/>
      <c r="C20" s="334"/>
      <c r="D20" s="335">
        <f>SUM(D8:D19)</f>
        <v>0</v>
      </c>
      <c r="E20" s="335">
        <f>SUM(E8:E19)</f>
        <v>0</v>
      </c>
      <c r="F20" s="335">
        <f>SUM(F8:F19)</f>
        <v>0</v>
      </c>
      <c r="G20" s="335">
        <f>SUM(G8:G19)</f>
        <v>0</v>
      </c>
      <c r="H20" s="336"/>
    </row>
  </sheetData>
  <mergeCells count="11">
    <mergeCell ref="B6:B7"/>
    <mergeCell ref="C6:C7"/>
    <mergeCell ref="D6:D7"/>
    <mergeCell ref="A1:H1"/>
    <mergeCell ref="A5:H5"/>
    <mergeCell ref="A3:H3"/>
    <mergeCell ref="A4:H4"/>
    <mergeCell ref="A2:H2"/>
    <mergeCell ref="A6:A7"/>
    <mergeCell ref="E6:G6"/>
    <mergeCell ref="H6:H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46" orientation="portrait" useFirstPageNumber="1" r:id="rId1"/>
  <headerFooter alignWithMargins="0">
    <oddFooter>&amp;C&amp;"Arial Unicode MS,標準"&amp;P</oddFooter>
  </headerFooter>
</worksheet>
</file>

<file path=xl/worksheets/sheet51.xml><?xml version="1.0" encoding="utf-8"?>
<worksheet xmlns="http://schemas.openxmlformats.org/spreadsheetml/2006/main" xmlns:r="http://schemas.openxmlformats.org/officeDocument/2006/relationships">
  <sheetPr codeName="Sheet48"/>
  <dimension ref="A14:N22"/>
  <sheetViews>
    <sheetView topLeftCell="A7" zoomScaleNormal="100" workbookViewId="0">
      <selection activeCell="P29" sqref="P29"/>
    </sheetView>
  </sheetViews>
  <sheetFormatPr defaultRowHeight="16.5"/>
  <sheetData>
    <row r="14" spans="1:14" ht="32.25">
      <c r="K14" s="111"/>
      <c r="L14" s="111"/>
      <c r="M14" s="111"/>
      <c r="N14" s="111"/>
    </row>
    <row r="15" spans="1:14" ht="31.5" customHeight="1"/>
    <row r="16" spans="1:14" ht="32.25" customHeight="1">
      <c r="A16" s="1314" t="s">
        <v>662</v>
      </c>
      <c r="B16" s="1315"/>
      <c r="C16" s="1315"/>
      <c r="D16" s="1315"/>
      <c r="E16" s="1315"/>
      <c r="F16" s="1315"/>
      <c r="G16" s="1315"/>
      <c r="H16" s="1315"/>
      <c r="I16" s="1315"/>
      <c r="J16" s="1315"/>
    </row>
    <row r="17" spans="1:10" ht="32.25" customHeight="1">
      <c r="A17" s="112"/>
      <c r="B17" s="113"/>
      <c r="C17" s="113"/>
      <c r="D17" s="113"/>
      <c r="E17" s="113"/>
      <c r="F17" s="113"/>
      <c r="G17" s="113"/>
      <c r="H17" s="113"/>
      <c r="I17" s="113"/>
      <c r="J17" s="113"/>
    </row>
    <row r="18" spans="1:10" ht="32.25" customHeight="1">
      <c r="A18" s="112"/>
      <c r="B18" s="113"/>
      <c r="C18" s="113"/>
      <c r="D18" s="113"/>
      <c r="E18" s="113"/>
      <c r="F18" s="113"/>
      <c r="G18" s="113"/>
      <c r="H18" s="113"/>
      <c r="I18" s="113"/>
      <c r="J18" s="113"/>
    </row>
    <row r="22" spans="1:10" ht="32.25" customHeight="1">
      <c r="A22" s="1314" t="s">
        <v>663</v>
      </c>
      <c r="B22" s="1314"/>
      <c r="C22" s="1314"/>
      <c r="D22" s="1314"/>
      <c r="E22" s="1314"/>
      <c r="F22" s="1314"/>
      <c r="G22" s="1314"/>
      <c r="H22" s="1314"/>
      <c r="I22" s="1314"/>
      <c r="J22" s="1314"/>
    </row>
  </sheetData>
  <mergeCells count="2">
    <mergeCell ref="A16:J16"/>
    <mergeCell ref="A22:J22"/>
  </mergeCells>
  <phoneticPr fontId="2" type="noConversion"/>
  <printOptions horizontalCentered="1"/>
  <pageMargins left="0.55118110236220474" right="0.35433070866141736" top="0.78740157480314965" bottom="0.78740157480314965"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53"/>
  <dimension ref="A1:I29"/>
  <sheetViews>
    <sheetView zoomScaleNormal="100" workbookViewId="0">
      <selection activeCell="B36" sqref="B36"/>
    </sheetView>
  </sheetViews>
  <sheetFormatPr defaultColWidth="9" defaultRowHeight="16.5"/>
  <cols>
    <col min="1" max="1" width="9" style="437"/>
    <col min="2" max="2" width="33.25" style="438" customWidth="1"/>
    <col min="3" max="4" width="8.25" style="437" bestFit="1" customWidth="1"/>
    <col min="5" max="5" width="10.75" style="437" bestFit="1" customWidth="1"/>
    <col min="6" max="6" width="12.75" style="437" bestFit="1" customWidth="1"/>
    <col min="7" max="7" width="15.625" style="437" customWidth="1"/>
    <col min="8" max="8" width="9" style="437"/>
    <col min="9" max="9" width="33.625" style="437" customWidth="1"/>
    <col min="10" max="16384" width="9" style="437"/>
  </cols>
  <sheetData>
    <row r="1" spans="1:9" ht="21">
      <c r="B1" s="1318" t="s">
        <v>221</v>
      </c>
      <c r="C1" s="1318"/>
      <c r="D1" s="1318"/>
      <c r="E1" s="1318"/>
      <c r="F1" s="1318"/>
      <c r="G1" s="1318"/>
    </row>
    <row r="2" spans="1:9" ht="21">
      <c r="B2" s="1318" t="s">
        <v>222</v>
      </c>
      <c r="C2" s="1318"/>
      <c r="D2" s="1318"/>
      <c r="E2" s="1318"/>
      <c r="F2" s="1318"/>
      <c r="G2" s="1318"/>
    </row>
    <row r="3" spans="1:9" ht="21">
      <c r="B3" s="1318" t="s">
        <v>630</v>
      </c>
      <c r="C3" s="1318"/>
      <c r="D3" s="1318"/>
      <c r="E3" s="1318"/>
      <c r="F3" s="1318"/>
      <c r="G3" s="1318"/>
    </row>
    <row r="4" spans="1:9" ht="19.5">
      <c r="B4" s="1319" t="s">
        <v>782</v>
      </c>
      <c r="C4" s="1319"/>
      <c r="D4" s="1319"/>
      <c r="E4" s="1319"/>
      <c r="F4" s="1319"/>
      <c r="G4" s="1319"/>
    </row>
    <row r="5" spans="1:9" ht="17.25" thickBot="1">
      <c r="C5" s="439"/>
      <c r="D5" s="440"/>
      <c r="F5" s="440"/>
      <c r="G5" s="441" t="s">
        <v>223</v>
      </c>
    </row>
    <row r="6" spans="1:9">
      <c r="A6" s="1316" t="s">
        <v>688</v>
      </c>
      <c r="B6" s="1320" t="s">
        <v>224</v>
      </c>
      <c r="C6" s="1322" t="s">
        <v>225</v>
      </c>
      <c r="D6" s="1322"/>
      <c r="E6" s="1322"/>
      <c r="F6" s="1322"/>
      <c r="G6" s="1323" t="s">
        <v>226</v>
      </c>
    </row>
    <row r="7" spans="1:9">
      <c r="A7" s="1317"/>
      <c r="B7" s="1321"/>
      <c r="C7" s="442" t="s">
        <v>227</v>
      </c>
      <c r="D7" s="442" t="s">
        <v>228</v>
      </c>
      <c r="E7" s="442" t="s">
        <v>229</v>
      </c>
      <c r="F7" s="442" t="s">
        <v>230</v>
      </c>
      <c r="G7" s="1324"/>
    </row>
    <row r="8" spans="1:9" ht="34.5" customHeight="1">
      <c r="A8" s="532"/>
      <c r="B8" s="443" t="s">
        <v>231</v>
      </c>
      <c r="C8" s="442"/>
      <c r="D8" s="442"/>
      <c r="E8" s="442"/>
      <c r="F8" s="442">
        <f>SUM(F9:F18)</f>
        <v>16515</v>
      </c>
      <c r="G8" s="533"/>
    </row>
    <row r="9" spans="1:9" s="417" customFormat="1" ht="34.5" customHeight="1">
      <c r="A9" s="534" t="s">
        <v>686</v>
      </c>
      <c r="B9" s="543" t="s">
        <v>822</v>
      </c>
      <c r="C9" s="142" t="s">
        <v>232</v>
      </c>
      <c r="D9" s="142">
        <v>1</v>
      </c>
      <c r="E9" s="142">
        <v>1750</v>
      </c>
      <c r="F9" s="142">
        <f t="shared" ref="F9:F28" si="0">D9*E9</f>
        <v>1750</v>
      </c>
      <c r="G9" s="535" t="s">
        <v>786</v>
      </c>
    </row>
    <row r="10" spans="1:9" s="417" customFormat="1" ht="34.5" customHeight="1">
      <c r="A10" s="534" t="s">
        <v>686</v>
      </c>
      <c r="B10" s="543" t="s">
        <v>823</v>
      </c>
      <c r="C10" s="142" t="s">
        <v>232</v>
      </c>
      <c r="D10" s="142">
        <v>1</v>
      </c>
      <c r="E10" s="142">
        <v>4500</v>
      </c>
      <c r="F10" s="142">
        <f t="shared" si="0"/>
        <v>4500</v>
      </c>
      <c r="G10" s="535" t="s">
        <v>463</v>
      </c>
    </row>
    <row r="11" spans="1:9" s="417" customFormat="1" ht="34.5" customHeight="1">
      <c r="A11" s="534" t="s">
        <v>686</v>
      </c>
      <c r="B11" s="544" t="s">
        <v>824</v>
      </c>
      <c r="C11" s="142" t="s">
        <v>232</v>
      </c>
      <c r="D11" s="142">
        <v>1</v>
      </c>
      <c r="E11" s="142">
        <v>650</v>
      </c>
      <c r="F11" s="142">
        <f t="shared" si="0"/>
        <v>650</v>
      </c>
      <c r="G11" s="535" t="s">
        <v>463</v>
      </c>
    </row>
    <row r="12" spans="1:9" s="417" customFormat="1" ht="34.5" customHeight="1">
      <c r="A12" s="534" t="s">
        <v>686</v>
      </c>
      <c r="B12" s="545" t="s">
        <v>825</v>
      </c>
      <c r="C12" s="142" t="s">
        <v>232</v>
      </c>
      <c r="D12" s="142">
        <v>1</v>
      </c>
      <c r="E12" s="142">
        <v>2320</v>
      </c>
      <c r="F12" s="142">
        <f t="shared" si="0"/>
        <v>2320</v>
      </c>
      <c r="G12" s="535" t="s">
        <v>463</v>
      </c>
      <c r="I12" s="471"/>
    </row>
    <row r="13" spans="1:9" s="417" customFormat="1" ht="60" customHeight="1">
      <c r="A13" s="534" t="s">
        <v>686</v>
      </c>
      <c r="B13" s="562" t="s">
        <v>826</v>
      </c>
      <c r="C13" s="142" t="s">
        <v>232</v>
      </c>
      <c r="D13" s="142">
        <v>1</v>
      </c>
      <c r="E13" s="142">
        <v>1285</v>
      </c>
      <c r="F13" s="142">
        <f t="shared" si="0"/>
        <v>1285</v>
      </c>
      <c r="G13" s="535" t="s">
        <v>787</v>
      </c>
      <c r="I13" s="471"/>
    </row>
    <row r="14" spans="1:9" s="417" customFormat="1" ht="34.5" customHeight="1">
      <c r="A14" s="563" t="s">
        <v>687</v>
      </c>
      <c r="B14" s="569" t="s">
        <v>847</v>
      </c>
      <c r="C14" s="142" t="s">
        <v>775</v>
      </c>
      <c r="D14" s="142">
        <v>7</v>
      </c>
      <c r="E14" s="142">
        <v>290</v>
      </c>
      <c r="F14" s="142">
        <f t="shared" si="0"/>
        <v>2030</v>
      </c>
      <c r="G14" s="535" t="s">
        <v>463</v>
      </c>
    </row>
    <row r="15" spans="1:9" s="417" customFormat="1" ht="34.5" customHeight="1">
      <c r="A15" s="563" t="s">
        <v>687</v>
      </c>
      <c r="B15" s="569" t="s">
        <v>839</v>
      </c>
      <c r="C15" s="142" t="s">
        <v>775</v>
      </c>
      <c r="D15" s="142">
        <v>2</v>
      </c>
      <c r="E15" s="142">
        <v>600</v>
      </c>
      <c r="F15" s="142">
        <f t="shared" si="0"/>
        <v>1200</v>
      </c>
      <c r="G15" s="535"/>
    </row>
    <row r="16" spans="1:9" s="417" customFormat="1" ht="34.5" customHeight="1">
      <c r="A16" s="563" t="s">
        <v>687</v>
      </c>
      <c r="B16" s="569" t="s">
        <v>848</v>
      </c>
      <c r="C16" s="142" t="s">
        <v>775</v>
      </c>
      <c r="D16" s="142">
        <v>1</v>
      </c>
      <c r="E16" s="142">
        <v>100</v>
      </c>
      <c r="F16" s="142">
        <f t="shared" si="0"/>
        <v>100</v>
      </c>
      <c r="G16" s="535"/>
    </row>
    <row r="17" spans="1:7" s="417" customFormat="1" ht="34.5" customHeight="1">
      <c r="A17" s="563" t="s">
        <v>687</v>
      </c>
      <c r="B17" s="569" t="s">
        <v>838</v>
      </c>
      <c r="C17" s="142" t="s">
        <v>232</v>
      </c>
      <c r="D17" s="142">
        <v>1</v>
      </c>
      <c r="E17" s="142">
        <v>2000</v>
      </c>
      <c r="F17" s="142">
        <f t="shared" si="0"/>
        <v>2000</v>
      </c>
      <c r="G17" s="535"/>
    </row>
    <row r="18" spans="1:7" s="417" customFormat="1" ht="34.5" customHeight="1">
      <c r="A18" s="563" t="s">
        <v>687</v>
      </c>
      <c r="B18" s="569" t="s">
        <v>840</v>
      </c>
      <c r="C18" s="142" t="s">
        <v>232</v>
      </c>
      <c r="D18" s="142">
        <v>1</v>
      </c>
      <c r="E18" s="142">
        <v>680</v>
      </c>
      <c r="F18" s="142">
        <f t="shared" si="0"/>
        <v>680</v>
      </c>
      <c r="G18" s="535" t="s">
        <v>463</v>
      </c>
    </row>
    <row r="19" spans="1:7" ht="34.5" customHeight="1">
      <c r="A19" s="536"/>
      <c r="B19" s="443" t="s">
        <v>190</v>
      </c>
      <c r="C19" s="442"/>
      <c r="D19" s="442"/>
      <c r="E19" s="442"/>
      <c r="F19" s="442">
        <f>SUM(F20:F28)</f>
        <v>2740.01</v>
      </c>
      <c r="G19" s="535"/>
    </row>
    <row r="20" spans="1:7" ht="34.5" customHeight="1">
      <c r="A20" s="563" t="s">
        <v>687</v>
      </c>
      <c r="B20" s="569" t="s">
        <v>841</v>
      </c>
      <c r="C20" s="142" t="s">
        <v>775</v>
      </c>
      <c r="D20" s="442">
        <v>2</v>
      </c>
      <c r="E20" s="442">
        <v>100</v>
      </c>
      <c r="F20" s="142">
        <f t="shared" si="0"/>
        <v>200</v>
      </c>
      <c r="G20" s="535"/>
    </row>
    <row r="21" spans="1:7" ht="34.5" customHeight="1">
      <c r="A21" s="563" t="s">
        <v>687</v>
      </c>
      <c r="B21" s="569" t="s">
        <v>849</v>
      </c>
      <c r="C21" s="142" t="s">
        <v>775</v>
      </c>
      <c r="D21" s="442">
        <v>5</v>
      </c>
      <c r="E21" s="442">
        <v>60</v>
      </c>
      <c r="F21" s="142">
        <f t="shared" si="0"/>
        <v>300</v>
      </c>
      <c r="G21" s="535"/>
    </row>
    <row r="22" spans="1:7" ht="34.5" customHeight="1">
      <c r="A22" s="563" t="s">
        <v>687</v>
      </c>
      <c r="B22" s="569" t="s">
        <v>783</v>
      </c>
      <c r="C22" s="142" t="s">
        <v>775</v>
      </c>
      <c r="D22" s="442">
        <v>16</v>
      </c>
      <c r="E22" s="442">
        <v>25</v>
      </c>
      <c r="F22" s="142">
        <f t="shared" si="0"/>
        <v>400</v>
      </c>
      <c r="G22" s="535"/>
    </row>
    <row r="23" spans="1:7" ht="34.5" customHeight="1">
      <c r="A23" s="563" t="s">
        <v>687</v>
      </c>
      <c r="B23" s="569" t="s">
        <v>850</v>
      </c>
      <c r="C23" s="142" t="s">
        <v>775</v>
      </c>
      <c r="D23" s="442">
        <v>2</v>
      </c>
      <c r="E23" s="442">
        <v>20</v>
      </c>
      <c r="F23" s="142">
        <f t="shared" si="0"/>
        <v>40</v>
      </c>
      <c r="G23" s="535"/>
    </row>
    <row r="24" spans="1:7" ht="34.5" customHeight="1">
      <c r="A24" s="563" t="s">
        <v>842</v>
      </c>
      <c r="B24" s="569" t="s">
        <v>843</v>
      </c>
      <c r="C24" s="142" t="s">
        <v>844</v>
      </c>
      <c r="D24" s="442">
        <v>2</v>
      </c>
      <c r="E24" s="442">
        <v>20</v>
      </c>
      <c r="F24" s="570">
        <f t="shared" si="0"/>
        <v>40</v>
      </c>
      <c r="G24" s="571" t="s">
        <v>846</v>
      </c>
    </row>
    <row r="25" spans="1:7" ht="34.5" customHeight="1">
      <c r="A25" s="563" t="s">
        <v>842</v>
      </c>
      <c r="B25" s="569" t="s">
        <v>845</v>
      </c>
      <c r="C25" s="142" t="s">
        <v>844</v>
      </c>
      <c r="D25" s="442">
        <v>3</v>
      </c>
      <c r="E25" s="548">
        <v>153.33000000000001</v>
      </c>
      <c r="F25" s="570">
        <f t="shared" si="0"/>
        <v>459.99</v>
      </c>
      <c r="G25" s="571" t="s">
        <v>846</v>
      </c>
    </row>
    <row r="26" spans="1:7" ht="34.5" customHeight="1">
      <c r="A26" s="563" t="s">
        <v>687</v>
      </c>
      <c r="B26" s="569" t="s">
        <v>827</v>
      </c>
      <c r="C26" s="142" t="s">
        <v>775</v>
      </c>
      <c r="D26" s="442">
        <v>3</v>
      </c>
      <c r="E26" s="548">
        <v>166.67</v>
      </c>
      <c r="F26" s="142">
        <f t="shared" si="0"/>
        <v>500.01</v>
      </c>
      <c r="G26" s="535"/>
    </row>
    <row r="27" spans="1:7" ht="34.5" customHeight="1">
      <c r="A27" s="563" t="s">
        <v>687</v>
      </c>
      <c r="B27" s="569" t="s">
        <v>784</v>
      </c>
      <c r="C27" s="142" t="s">
        <v>232</v>
      </c>
      <c r="D27" s="442">
        <v>1</v>
      </c>
      <c r="E27" s="442">
        <v>300</v>
      </c>
      <c r="F27" s="142">
        <f t="shared" si="0"/>
        <v>300</v>
      </c>
      <c r="G27" s="535"/>
    </row>
    <row r="28" spans="1:7" s="417" customFormat="1" ht="34.5" customHeight="1">
      <c r="A28" s="563" t="s">
        <v>687</v>
      </c>
      <c r="B28" s="569" t="s">
        <v>785</v>
      </c>
      <c r="C28" s="142" t="s">
        <v>775</v>
      </c>
      <c r="D28" s="142">
        <v>3</v>
      </c>
      <c r="E28" s="548">
        <v>166.67</v>
      </c>
      <c r="F28" s="142">
        <f t="shared" si="0"/>
        <v>500.01</v>
      </c>
      <c r="G28" s="535" t="s">
        <v>463</v>
      </c>
    </row>
    <row r="29" spans="1:7" ht="34.5" customHeight="1" thickBot="1">
      <c r="A29" s="537"/>
      <c r="B29" s="564" t="s">
        <v>233</v>
      </c>
      <c r="C29" s="538"/>
      <c r="D29" s="539"/>
      <c r="E29" s="540"/>
      <c r="F29" s="539">
        <f>F8+F19</f>
        <v>19255.010000000002</v>
      </c>
      <c r="G29" s="541"/>
    </row>
  </sheetData>
  <mergeCells count="8">
    <mergeCell ref="A6:A7"/>
    <mergeCell ref="B1:G1"/>
    <mergeCell ref="B3:G3"/>
    <mergeCell ref="B4:G4"/>
    <mergeCell ref="B6:B7"/>
    <mergeCell ref="C6:F6"/>
    <mergeCell ref="G6:G7"/>
    <mergeCell ref="B2:G2"/>
  </mergeCells>
  <phoneticPr fontId="14" type="noConversion"/>
  <printOptions horizontalCentered="1"/>
  <pageMargins left="0.47244094488188981" right="0.47244094488188981" top="0.59055118110236227" bottom="0.39370078740157483" header="0.51181102362204722" footer="0.51181102362204722"/>
  <pageSetup paperSize="9" scale="90" orientation="portrait" r:id="rId1"/>
  <headerFooter alignWithMargins="0"/>
</worksheet>
</file>

<file path=xl/worksheets/sheet53.xml><?xml version="1.0" encoding="utf-8"?>
<worksheet xmlns="http://schemas.openxmlformats.org/spreadsheetml/2006/main" xmlns:r="http://schemas.openxmlformats.org/officeDocument/2006/relationships">
  <dimension ref="A1"/>
  <sheetViews>
    <sheetView workbookViewId="0"/>
  </sheetViews>
  <sheetFormatPr defaultRowHeight="16.5"/>
  <sheetData/>
  <phoneticPr fontId="1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7">
    <tabColor rgb="FFFFFFCC"/>
  </sheetPr>
  <dimension ref="A1:E40"/>
  <sheetViews>
    <sheetView topLeftCell="A28" workbookViewId="0">
      <selection activeCell="C37" sqref="C37"/>
    </sheetView>
  </sheetViews>
  <sheetFormatPr defaultColWidth="9" defaultRowHeight="16.5"/>
  <cols>
    <col min="1" max="1" width="10.625" style="1" customWidth="1"/>
    <col min="2" max="2" width="24.125" style="1" customWidth="1"/>
    <col min="3" max="3" width="16.125" style="1" customWidth="1"/>
    <col min="4" max="4" width="23.5" style="1" customWidth="1"/>
    <col min="5" max="5" width="16.125" style="1" customWidth="1"/>
    <col min="6" max="6" width="24.75" style="1" customWidth="1"/>
    <col min="7" max="16384" width="9" style="1"/>
  </cols>
  <sheetData>
    <row r="1" spans="1:5" ht="25.5">
      <c r="A1" s="118"/>
      <c r="B1" s="979" t="s">
        <v>144</v>
      </c>
      <c r="C1" s="979"/>
      <c r="D1" s="979"/>
      <c r="E1" s="979"/>
    </row>
    <row r="2" spans="1:5" ht="21">
      <c r="A2" s="127"/>
      <c r="B2" s="980" t="s">
        <v>235</v>
      </c>
      <c r="C2" s="980"/>
      <c r="D2" s="980"/>
      <c r="E2" s="980"/>
    </row>
    <row r="3" spans="1:5" ht="21">
      <c r="A3" s="127"/>
      <c r="B3" s="981" t="s">
        <v>250</v>
      </c>
      <c r="C3" s="981"/>
      <c r="D3" s="981"/>
      <c r="E3" s="981"/>
    </row>
    <row r="4" spans="1:5" ht="19.5">
      <c r="A4" s="128"/>
      <c r="B4" s="982" t="s">
        <v>1100</v>
      </c>
      <c r="C4" s="982"/>
      <c r="D4" s="982"/>
      <c r="E4" s="982"/>
    </row>
    <row r="5" spans="1:5">
      <c r="A5" s="3" t="s">
        <v>124</v>
      </c>
      <c r="B5" s="3"/>
      <c r="C5" s="3"/>
      <c r="D5" s="3"/>
      <c r="E5" s="3"/>
    </row>
    <row r="6" spans="1:5" ht="23.25">
      <c r="A6" s="121" t="s">
        <v>125</v>
      </c>
      <c r="B6" s="988" t="s">
        <v>1109</v>
      </c>
      <c r="C6" s="988"/>
      <c r="D6" s="988"/>
      <c r="E6" s="988"/>
    </row>
    <row r="7" spans="1:5" ht="21">
      <c r="A7" s="120"/>
      <c r="B7" s="989" t="s">
        <v>272</v>
      </c>
      <c r="C7" s="989"/>
      <c r="D7" s="989"/>
      <c r="E7" s="989"/>
    </row>
    <row r="20" spans="2:5" ht="21">
      <c r="B20" s="989" t="s">
        <v>271</v>
      </c>
      <c r="C20" s="994"/>
      <c r="D20" s="994"/>
      <c r="E20" s="994"/>
    </row>
    <row r="35" spans="2:5" ht="26.25" customHeight="1">
      <c r="E35" s="19" t="s">
        <v>618</v>
      </c>
    </row>
    <row r="36" spans="2:5" ht="25.5" customHeight="1">
      <c r="B36" s="13" t="s">
        <v>267</v>
      </c>
      <c r="C36" s="13" t="s">
        <v>1110</v>
      </c>
      <c r="D36" s="13" t="s">
        <v>268</v>
      </c>
      <c r="E36" s="13" t="s">
        <v>1110</v>
      </c>
    </row>
    <row r="37" spans="2:5" s="9" customFormat="1" ht="25.5" customHeight="1">
      <c r="B37" s="286" t="s">
        <v>269</v>
      </c>
      <c r="C37" s="627">
        <f>'17.撥補表'!E20</f>
        <v>263165</v>
      </c>
      <c r="D37" s="419" t="s">
        <v>270</v>
      </c>
      <c r="E37" s="627">
        <f>C37</f>
        <v>263165</v>
      </c>
    </row>
    <row r="38" spans="2:5" s="9" customFormat="1" ht="45.75" customHeight="1">
      <c r="B38" s="8"/>
      <c r="C38" s="8"/>
      <c r="D38" s="8"/>
      <c r="E38" s="8"/>
    </row>
    <row r="39" spans="2:5" s="9" customFormat="1" ht="25.5" customHeight="1">
      <c r="B39" s="6"/>
      <c r="C39" s="6"/>
      <c r="D39" s="6"/>
      <c r="E39" s="6"/>
    </row>
    <row r="40" spans="2:5" s="78" customFormat="1" ht="25.5" customHeight="1">
      <c r="B40" s="13" t="s">
        <v>616</v>
      </c>
      <c r="C40" s="769">
        <f>SUM(C37:C39)</f>
        <v>263165</v>
      </c>
      <c r="D40" s="13" t="s">
        <v>616</v>
      </c>
      <c r="E40" s="769">
        <f>SUM(E37:E39)</f>
        <v>263165</v>
      </c>
    </row>
  </sheetData>
  <mergeCells count="7">
    <mergeCell ref="B20:E20"/>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firstPageNumber="13"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tabColor rgb="FFFFFFCC"/>
  </sheetPr>
  <dimension ref="A1:I44"/>
  <sheetViews>
    <sheetView topLeftCell="A22" zoomScaleNormal="100" workbookViewId="0">
      <selection activeCell="C47" sqref="C47"/>
    </sheetView>
  </sheetViews>
  <sheetFormatPr defaultColWidth="9" defaultRowHeight="16.5"/>
  <cols>
    <col min="1" max="1" width="21.625" style="1" customWidth="1"/>
    <col min="2" max="6" width="11.625" style="1" customWidth="1"/>
    <col min="7" max="9" width="13.625" style="1" customWidth="1"/>
    <col min="10" max="16384" width="9" style="1"/>
  </cols>
  <sheetData>
    <row r="1" spans="1:8" ht="25.5">
      <c r="A1" s="979" t="s">
        <v>234</v>
      </c>
      <c r="B1" s="979"/>
      <c r="C1" s="979"/>
      <c r="D1" s="979"/>
      <c r="E1" s="979"/>
      <c r="F1" s="979"/>
      <c r="G1" s="341"/>
      <c r="H1" s="341"/>
    </row>
    <row r="2" spans="1:8" ht="21">
      <c r="A2" s="980" t="s">
        <v>235</v>
      </c>
      <c r="B2" s="980"/>
      <c r="C2" s="980"/>
      <c r="D2" s="980"/>
      <c r="E2" s="980"/>
      <c r="F2" s="980"/>
      <c r="G2" s="339"/>
      <c r="H2" s="339"/>
    </row>
    <row r="3" spans="1:8" ht="21">
      <c r="A3" s="981" t="s">
        <v>250</v>
      </c>
      <c r="B3" s="981"/>
      <c r="C3" s="981"/>
      <c r="D3" s="981"/>
      <c r="E3" s="981"/>
      <c r="F3" s="981"/>
      <c r="G3" s="340"/>
      <c r="H3" s="340"/>
    </row>
    <row r="4" spans="1:8" ht="19.5" customHeight="1">
      <c r="A4" s="982" t="s">
        <v>1100</v>
      </c>
      <c r="B4" s="982"/>
      <c r="C4" s="982"/>
      <c r="D4" s="982"/>
      <c r="E4" s="982"/>
      <c r="F4" s="982"/>
      <c r="G4" s="5"/>
      <c r="H4" s="5"/>
    </row>
    <row r="6" spans="1:8" ht="21">
      <c r="A6" s="981" t="s">
        <v>1016</v>
      </c>
      <c r="B6" s="981"/>
      <c r="C6" s="981"/>
      <c r="D6" s="981"/>
      <c r="E6" s="981"/>
      <c r="F6" s="981"/>
    </row>
    <row r="34" spans="1:9" ht="24.75" customHeight="1"/>
    <row r="36" spans="1:9">
      <c r="B36" s="993" t="s">
        <v>631</v>
      </c>
      <c r="C36" s="993"/>
      <c r="D36" s="993"/>
      <c r="E36" s="993"/>
      <c r="F36" s="993"/>
      <c r="H36" s="993"/>
      <c r="I36" s="993"/>
    </row>
    <row r="37" spans="1:9" ht="3.75" customHeight="1"/>
    <row r="38" spans="1:9" hidden="1"/>
    <row r="39" spans="1:9" s="524" customFormat="1" ht="35.1" customHeight="1">
      <c r="A39" s="630" t="s">
        <v>632</v>
      </c>
      <c r="B39" s="631" t="s">
        <v>1104</v>
      </c>
      <c r="C39" s="631" t="s">
        <v>1105</v>
      </c>
      <c r="D39" s="631" t="s">
        <v>1106</v>
      </c>
      <c r="E39" s="631" t="s">
        <v>1107</v>
      </c>
      <c r="F39" s="631" t="s">
        <v>1102</v>
      </c>
    </row>
    <row r="40" spans="1:9" s="524" customFormat="1" ht="30" customHeight="1">
      <c r="A40" s="632" t="s">
        <v>129</v>
      </c>
      <c r="B40" s="633"/>
      <c r="C40" s="633"/>
      <c r="D40" s="633"/>
      <c r="E40" s="633"/>
      <c r="F40" s="633"/>
    </row>
    <row r="41" spans="1:9" s="524" customFormat="1" ht="30" customHeight="1">
      <c r="A41" s="634" t="s">
        <v>615</v>
      </c>
      <c r="B41" s="420">
        <v>151008</v>
      </c>
      <c r="C41" s="420">
        <v>216924</v>
      </c>
      <c r="D41" s="420">
        <v>228196</v>
      </c>
      <c r="E41" s="420">
        <v>250414</v>
      </c>
      <c r="F41" s="420">
        <v>263165</v>
      </c>
    </row>
    <row r="42" spans="1:9" s="524" customFormat="1" ht="30" customHeight="1">
      <c r="A42" s="635" t="s">
        <v>617</v>
      </c>
      <c r="B42" s="636">
        <f>SUM(B41:B41)</f>
        <v>151008</v>
      </c>
      <c r="C42" s="636">
        <f>SUM(C41:C41)</f>
        <v>216924</v>
      </c>
      <c r="D42" s="636">
        <f>SUM(D41:D41)</f>
        <v>228196</v>
      </c>
      <c r="E42" s="636">
        <f>SUM(E41:E41)</f>
        <v>250414</v>
      </c>
      <c r="F42" s="636">
        <f>SUM(F41:F41)</f>
        <v>263165</v>
      </c>
    </row>
    <row r="43" spans="1:9" s="482" customFormat="1"/>
    <row r="44" spans="1:9">
      <c r="B44" s="1">
        <f>B41/1000</f>
        <v>151.00800000000001</v>
      </c>
      <c r="C44" s="1">
        <f>C41/1000</f>
        <v>216.92400000000001</v>
      </c>
      <c r="D44" s="1">
        <f>D41/1000</f>
        <v>228.196</v>
      </c>
      <c r="E44" s="1">
        <f>E41/1000</f>
        <v>250.41399999999999</v>
      </c>
      <c r="F44" s="1">
        <f>F41/1000</f>
        <v>263.16500000000002</v>
      </c>
    </row>
  </sheetData>
  <mergeCells count="7">
    <mergeCell ref="A3:F3"/>
    <mergeCell ref="A2:F2"/>
    <mergeCell ref="A1:F1"/>
    <mergeCell ref="H36:I36"/>
    <mergeCell ref="B36:F36"/>
    <mergeCell ref="A6:F6"/>
    <mergeCell ref="A4:F4"/>
  </mergeCells>
  <phoneticPr fontId="3" type="noConversion"/>
  <printOptions horizontalCentered="1"/>
  <pageMargins left="0.98425196850393704" right="0.98425196850393704" top="0.59055118110236227" bottom="0.78740157480314965" header="0.51181102362204722" footer="0.51181102362204722"/>
  <pageSetup paperSize="9" firstPageNumber="14" orientation="portrait" blackAndWhite="1"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9"/>
  <dimension ref="A16:I16"/>
  <sheetViews>
    <sheetView topLeftCell="B1" zoomScaleNormal="100" workbookViewId="0">
      <selection activeCell="K17" sqref="K17:L17"/>
    </sheetView>
  </sheetViews>
  <sheetFormatPr defaultColWidth="9" defaultRowHeight="16.5"/>
  <cols>
    <col min="1" max="8" width="9" style="1"/>
    <col min="9" max="9" width="14.125" style="1" customWidth="1"/>
    <col min="10" max="16384" width="9" style="1"/>
  </cols>
  <sheetData>
    <row r="16" spans="1:9" ht="50.25">
      <c r="A16" s="995" t="s">
        <v>273</v>
      </c>
      <c r="B16" s="995"/>
      <c r="C16" s="995"/>
      <c r="D16" s="995"/>
      <c r="E16" s="995"/>
      <c r="F16" s="995"/>
      <c r="G16" s="995"/>
      <c r="H16" s="995"/>
      <c r="I16" s="995"/>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tabColor rgb="FFFFFFCC"/>
  </sheetPr>
  <dimension ref="A1:J38"/>
  <sheetViews>
    <sheetView view="pageBreakPreview" topLeftCell="A16" zoomScale="80" zoomScaleNormal="100" zoomScaleSheetLayoutView="80" workbookViewId="0">
      <selection activeCell="C12" sqref="C12"/>
    </sheetView>
  </sheetViews>
  <sheetFormatPr defaultColWidth="9" defaultRowHeight="16.5"/>
  <cols>
    <col min="1" max="1" width="10.625" style="711" customWidth="1"/>
    <col min="2" max="2" width="8.625" style="711" customWidth="1"/>
    <col min="3" max="3" width="23.375" style="711" customWidth="1"/>
    <col min="4" max="4" width="10.75" style="711" customWidth="1"/>
    <col min="5" max="5" width="8.625" style="711" customWidth="1"/>
    <col min="6" max="6" width="10.75" style="711" customWidth="1"/>
    <col min="7" max="7" width="8.5" style="711" customWidth="1"/>
    <col min="8" max="8" width="9.75" style="711" customWidth="1"/>
    <col min="9" max="9" width="9.625" style="711" customWidth="1"/>
    <col min="10" max="10" width="9.5" style="711" customWidth="1"/>
    <col min="11" max="16384" width="9" style="711"/>
  </cols>
  <sheetData>
    <row r="1" spans="1:10" ht="25.5">
      <c r="A1" s="974" t="s">
        <v>144</v>
      </c>
      <c r="B1" s="1000"/>
      <c r="C1" s="1000"/>
      <c r="D1" s="1000"/>
      <c r="E1" s="1000"/>
      <c r="F1" s="1000"/>
      <c r="G1" s="1000"/>
      <c r="H1" s="1000"/>
      <c r="I1" s="1000"/>
    </row>
    <row r="2" spans="1:10" ht="21">
      <c r="A2" s="1001" t="s">
        <v>145</v>
      </c>
      <c r="B2" s="1001"/>
      <c r="C2" s="1001"/>
      <c r="D2" s="1001"/>
      <c r="E2" s="1001"/>
      <c r="F2" s="1001"/>
      <c r="G2" s="1001"/>
      <c r="H2" s="1001"/>
      <c r="I2" s="1001"/>
    </row>
    <row r="3" spans="1:10" ht="21">
      <c r="A3" s="975" t="s">
        <v>938</v>
      </c>
      <c r="B3" s="975"/>
      <c r="C3" s="975"/>
      <c r="D3" s="975"/>
      <c r="E3" s="975"/>
      <c r="F3" s="975"/>
      <c r="G3" s="975"/>
      <c r="H3" s="975"/>
      <c r="I3" s="975"/>
    </row>
    <row r="4" spans="1:10" ht="19.5">
      <c r="A4" s="976" t="s">
        <v>1054</v>
      </c>
      <c r="B4" s="976"/>
      <c r="C4" s="976"/>
      <c r="D4" s="976"/>
      <c r="E4" s="976"/>
      <c r="F4" s="976"/>
      <c r="G4" s="976"/>
      <c r="H4" s="976"/>
      <c r="I4" s="976"/>
    </row>
    <row r="5" spans="1:10" ht="17.25" thickBot="1">
      <c r="C5" s="472"/>
      <c r="D5" s="472"/>
      <c r="E5" s="472"/>
      <c r="F5" s="472"/>
      <c r="G5" s="472"/>
      <c r="I5" s="473" t="s">
        <v>619</v>
      </c>
    </row>
    <row r="6" spans="1:10" s="935" customFormat="1" ht="22.15" customHeight="1">
      <c r="A6" s="1002" t="s">
        <v>158</v>
      </c>
      <c r="B6" s="1003"/>
      <c r="C6" s="1007" t="s">
        <v>392</v>
      </c>
      <c r="D6" s="1006" t="s">
        <v>64</v>
      </c>
      <c r="E6" s="1003"/>
      <c r="F6" s="1006" t="s">
        <v>62</v>
      </c>
      <c r="G6" s="1003"/>
      <c r="H6" s="1004" t="s">
        <v>393</v>
      </c>
      <c r="I6" s="1005"/>
    </row>
    <row r="7" spans="1:10" s="935" customFormat="1" ht="22.15" customHeight="1">
      <c r="A7" s="474" t="s">
        <v>278</v>
      </c>
      <c r="B7" s="475" t="s">
        <v>156</v>
      </c>
      <c r="C7" s="1008"/>
      <c r="D7" s="475" t="s">
        <v>278</v>
      </c>
      <c r="E7" s="475" t="s">
        <v>156</v>
      </c>
      <c r="F7" s="475" t="s">
        <v>278</v>
      </c>
      <c r="G7" s="475" t="s">
        <v>156</v>
      </c>
      <c r="H7" s="475" t="s">
        <v>278</v>
      </c>
      <c r="I7" s="476" t="s">
        <v>156</v>
      </c>
    </row>
    <row r="8" spans="1:10" s="477" customFormat="1" ht="25.15" customHeight="1">
      <c r="A8" s="960">
        <f>SUM(A9,A11)</f>
        <v>574755</v>
      </c>
      <c r="B8" s="237">
        <f t="shared" ref="B8:B26" si="0">A8/$A$8*100</f>
        <v>100</v>
      </c>
      <c r="C8" s="238" t="s">
        <v>394</v>
      </c>
      <c r="D8" s="963">
        <f>SUM(D9,D11)</f>
        <v>612092</v>
      </c>
      <c r="E8" s="237">
        <f t="shared" ref="E8:E33" si="1">D8/$D$8*100</f>
        <v>100</v>
      </c>
      <c r="F8" s="963">
        <f>SUM(F9,F11)</f>
        <v>620762</v>
      </c>
      <c r="G8" s="237">
        <f>F8/$F$8*100</f>
        <v>100</v>
      </c>
      <c r="H8" s="252">
        <f>D8-F8</f>
        <v>-8670</v>
      </c>
      <c r="I8" s="254">
        <f>H8/F8*100</f>
        <v>-1.3966705436221933</v>
      </c>
      <c r="J8" s="677">
        <f>D8-A8</f>
        <v>37337</v>
      </c>
    </row>
    <row r="9" spans="1:10" s="478" customFormat="1" ht="25.15" customHeight="1">
      <c r="A9" s="961">
        <f>SUM(A10:A10)</f>
        <v>573305</v>
      </c>
      <c r="B9" s="239">
        <f t="shared" si="0"/>
        <v>99.747718593139695</v>
      </c>
      <c r="C9" s="240" t="s">
        <v>395</v>
      </c>
      <c r="D9" s="241">
        <f>SUM(D10:D10)</f>
        <v>610642</v>
      </c>
      <c r="E9" s="239">
        <f>D9/$D$8*100</f>
        <v>99.763107506714675</v>
      </c>
      <c r="F9" s="241">
        <f>SUM(F10:F10)</f>
        <v>619360</v>
      </c>
      <c r="G9" s="239">
        <f t="shared" ref="G9:G33" si="2">F9/$F$8*100</f>
        <v>99.774148546463863</v>
      </c>
      <c r="H9" s="242">
        <f>D9-F9</f>
        <v>-8718</v>
      </c>
      <c r="I9" s="255">
        <f t="shared" ref="I9:I32" si="3">H9/F9*100</f>
        <v>-1.4075820201498321</v>
      </c>
      <c r="J9" s="678">
        <f t="shared" ref="J9:J32" si="4">D9-A9</f>
        <v>37337</v>
      </c>
    </row>
    <row r="10" spans="1:10" s="478" customFormat="1" ht="25.15" customHeight="1">
      <c r="A10" s="961">
        <v>573305</v>
      </c>
      <c r="B10" s="239">
        <f t="shared" si="0"/>
        <v>99.747718593139695</v>
      </c>
      <c r="C10" s="696" t="s">
        <v>1044</v>
      </c>
      <c r="D10" s="241">
        <v>610642</v>
      </c>
      <c r="E10" s="239">
        <f t="shared" si="1"/>
        <v>99.763107506714675</v>
      </c>
      <c r="F10" s="241">
        <v>619360</v>
      </c>
      <c r="G10" s="239">
        <f t="shared" si="2"/>
        <v>99.774148546463863</v>
      </c>
      <c r="H10" s="242">
        <f t="shared" ref="H10:H33" si="5">D10-F10</f>
        <v>-8718</v>
      </c>
      <c r="I10" s="255">
        <f t="shared" si="3"/>
        <v>-1.4075820201498321</v>
      </c>
      <c r="J10" s="678">
        <f t="shared" si="4"/>
        <v>37337</v>
      </c>
    </row>
    <row r="11" spans="1:10" s="478" customFormat="1" ht="25.15" customHeight="1">
      <c r="A11" s="961">
        <f>A12+A13</f>
        <v>1450</v>
      </c>
      <c r="B11" s="239">
        <f t="shared" si="0"/>
        <v>0.25228140686031442</v>
      </c>
      <c r="C11" s="243" t="s">
        <v>396</v>
      </c>
      <c r="D11" s="241">
        <f>SUM(D12:D13)</f>
        <v>1450</v>
      </c>
      <c r="E11" s="239">
        <f t="shared" si="1"/>
        <v>0.23689249328532314</v>
      </c>
      <c r="F11" s="241">
        <f>SUM(F12:F13)</f>
        <v>1402</v>
      </c>
      <c r="G11" s="239">
        <f t="shared" si="2"/>
        <v>0.22585145353613786</v>
      </c>
      <c r="H11" s="242">
        <f t="shared" si="5"/>
        <v>48</v>
      </c>
      <c r="I11" s="255">
        <f t="shared" si="3"/>
        <v>3.4236804564907275</v>
      </c>
      <c r="J11" s="478">
        <f t="shared" si="4"/>
        <v>0</v>
      </c>
    </row>
    <row r="12" spans="1:10" s="478" customFormat="1" ht="25.15" customHeight="1">
      <c r="A12" s="961">
        <v>291</v>
      </c>
      <c r="B12" s="239">
        <f t="shared" ref="B12:B13" si="6">A12/$A$8*100</f>
        <v>5.0630268549207928E-2</v>
      </c>
      <c r="C12" s="697" t="s">
        <v>1004</v>
      </c>
      <c r="D12" s="241">
        <v>290</v>
      </c>
      <c r="E12" s="691">
        <f t="shared" si="1"/>
        <v>4.7378498657064623E-2</v>
      </c>
      <c r="F12" s="241">
        <v>290</v>
      </c>
      <c r="G12" s="691">
        <f t="shared" si="2"/>
        <v>4.6716777122310968E-2</v>
      </c>
      <c r="H12" s="242">
        <f t="shared" si="5"/>
        <v>0</v>
      </c>
      <c r="I12" s="255">
        <f t="shared" si="3"/>
        <v>0</v>
      </c>
      <c r="J12" s="478">
        <f t="shared" si="4"/>
        <v>-1</v>
      </c>
    </row>
    <row r="13" spans="1:10" s="478" customFormat="1" ht="25.15" customHeight="1">
      <c r="A13" s="961">
        <v>1159</v>
      </c>
      <c r="B13" s="691">
        <f t="shared" si="6"/>
        <v>0.20165113831110648</v>
      </c>
      <c r="C13" s="697" t="s">
        <v>1045</v>
      </c>
      <c r="D13" s="241">
        <v>1160</v>
      </c>
      <c r="E13" s="239">
        <f t="shared" si="1"/>
        <v>0.18951399462825849</v>
      </c>
      <c r="F13" s="241">
        <v>1112</v>
      </c>
      <c r="G13" s="239">
        <f t="shared" si="2"/>
        <v>0.17913467641382688</v>
      </c>
      <c r="H13" s="242">
        <f t="shared" si="5"/>
        <v>48</v>
      </c>
      <c r="I13" s="255">
        <f t="shared" si="3"/>
        <v>4.3165467625899279</v>
      </c>
      <c r="J13" s="478">
        <f t="shared" si="4"/>
        <v>1</v>
      </c>
    </row>
    <row r="14" spans="1:10" s="477" customFormat="1" ht="25.15" customHeight="1">
      <c r="A14" s="962">
        <f>SUM(A15,A17)</f>
        <v>573239</v>
      </c>
      <c r="B14" s="244">
        <f t="shared" si="0"/>
        <v>99.736235439448123</v>
      </c>
      <c r="C14" s="245" t="s">
        <v>665</v>
      </c>
      <c r="D14" s="246">
        <f>SUM(D15,D17)</f>
        <v>601414</v>
      </c>
      <c r="E14" s="244">
        <f t="shared" si="1"/>
        <v>98.255491004620225</v>
      </c>
      <c r="F14" s="246">
        <f>SUM(F15,F17)</f>
        <v>604827</v>
      </c>
      <c r="G14" s="244">
        <f t="shared" si="2"/>
        <v>97.432993643296456</v>
      </c>
      <c r="H14" s="246">
        <f t="shared" si="5"/>
        <v>-3413</v>
      </c>
      <c r="I14" s="256">
        <f t="shared" si="3"/>
        <v>-0.56429359139059598</v>
      </c>
      <c r="J14" s="677">
        <f t="shared" si="4"/>
        <v>28175</v>
      </c>
    </row>
    <row r="15" spans="1:10" s="478" customFormat="1" ht="25.15" customHeight="1">
      <c r="A15" s="961">
        <f>SUM(A16:A16)</f>
        <v>573116</v>
      </c>
      <c r="B15" s="239">
        <f t="shared" si="0"/>
        <v>99.714835016659279</v>
      </c>
      <c r="C15" s="698" t="s">
        <v>216</v>
      </c>
      <c r="D15" s="241">
        <f>SUM(D16:D16)</f>
        <v>601414</v>
      </c>
      <c r="E15" s="239">
        <f t="shared" si="1"/>
        <v>98.255491004620225</v>
      </c>
      <c r="F15" s="241">
        <f>SUM(F16:F16)</f>
        <v>603715</v>
      </c>
      <c r="G15" s="239">
        <f t="shared" si="2"/>
        <v>97.253858966882632</v>
      </c>
      <c r="H15" s="241">
        <f>D15-F15</f>
        <v>-2301</v>
      </c>
      <c r="I15" s="255">
        <f t="shared" si="3"/>
        <v>-0.38114010750105598</v>
      </c>
      <c r="J15" s="678">
        <f t="shared" si="4"/>
        <v>28298</v>
      </c>
    </row>
    <row r="16" spans="1:10" s="478" customFormat="1" ht="25.15" customHeight="1">
      <c r="A16" s="961">
        <v>573116</v>
      </c>
      <c r="B16" s="239">
        <f t="shared" si="0"/>
        <v>99.714835016659279</v>
      </c>
      <c r="C16" s="696" t="s">
        <v>163</v>
      </c>
      <c r="D16" s="241">
        <f>600534+1160-200-80</f>
        <v>601414</v>
      </c>
      <c r="E16" s="239">
        <f t="shared" si="1"/>
        <v>98.255491004620225</v>
      </c>
      <c r="F16" s="241">
        <f>594825-888+9778</f>
        <v>603715</v>
      </c>
      <c r="G16" s="239">
        <f t="shared" si="2"/>
        <v>97.253858966882632</v>
      </c>
      <c r="H16" s="241">
        <f t="shared" si="5"/>
        <v>-2301</v>
      </c>
      <c r="I16" s="255">
        <f>H16/F16*100</f>
        <v>-0.38114010750105598</v>
      </c>
      <c r="J16" s="678">
        <f t="shared" si="4"/>
        <v>28298</v>
      </c>
    </row>
    <row r="17" spans="1:10" s="478" customFormat="1" ht="25.15" customHeight="1">
      <c r="A17" s="961">
        <f>SUM(A18:A18)</f>
        <v>123</v>
      </c>
      <c r="B17" s="691">
        <f t="shared" si="0"/>
        <v>2.1400422788840464E-2</v>
      </c>
      <c r="C17" s="240" t="s">
        <v>397</v>
      </c>
      <c r="D17" s="241">
        <f>SUM(D18:D18)</f>
        <v>0</v>
      </c>
      <c r="E17" s="241">
        <f t="shared" si="1"/>
        <v>0</v>
      </c>
      <c r="F17" s="241">
        <f>SUM(F18:F18)</f>
        <v>1112</v>
      </c>
      <c r="G17" s="239">
        <f t="shared" si="2"/>
        <v>0.17913467641382688</v>
      </c>
      <c r="H17" s="241">
        <f>D17-F17</f>
        <v>-1112</v>
      </c>
      <c r="I17" s="255">
        <f t="shared" si="3"/>
        <v>-100</v>
      </c>
      <c r="J17" s="678">
        <f t="shared" si="4"/>
        <v>-123</v>
      </c>
    </row>
    <row r="18" spans="1:10" s="478" customFormat="1" ht="25.15" customHeight="1">
      <c r="A18" s="961">
        <v>123</v>
      </c>
      <c r="B18" s="691">
        <f t="shared" si="0"/>
        <v>2.1400422788840464E-2</v>
      </c>
      <c r="C18" s="696" t="s">
        <v>20</v>
      </c>
      <c r="D18" s="241">
        <v>0</v>
      </c>
      <c r="E18" s="241">
        <f t="shared" si="1"/>
        <v>0</v>
      </c>
      <c r="F18" s="241">
        <v>1112</v>
      </c>
      <c r="G18" s="239">
        <f t="shared" si="2"/>
        <v>0.17913467641382688</v>
      </c>
      <c r="H18" s="241">
        <f t="shared" si="5"/>
        <v>-1112</v>
      </c>
      <c r="I18" s="255">
        <f t="shared" si="3"/>
        <v>-100</v>
      </c>
      <c r="J18" s="678">
        <f t="shared" si="4"/>
        <v>-123</v>
      </c>
    </row>
    <row r="19" spans="1:10" s="478" customFormat="1" ht="25.15" customHeight="1">
      <c r="A19" s="797">
        <f>A8-A14</f>
        <v>1516</v>
      </c>
      <c r="B19" s="244">
        <f t="shared" si="0"/>
        <v>0.26376456055188735</v>
      </c>
      <c r="C19" s="245" t="s">
        <v>1046</v>
      </c>
      <c r="D19" s="798">
        <f>D8-D14</f>
        <v>10678</v>
      </c>
      <c r="E19" s="244">
        <f t="shared" si="1"/>
        <v>1.7445089953797794</v>
      </c>
      <c r="F19" s="798">
        <f>F8-F14</f>
        <v>15935</v>
      </c>
      <c r="G19" s="244">
        <f t="shared" si="2"/>
        <v>2.5670063567035353</v>
      </c>
      <c r="H19" s="253">
        <f t="shared" si="5"/>
        <v>-5257</v>
      </c>
      <c r="I19" s="256">
        <f>H19/F19*100</f>
        <v>-32.990272983997485</v>
      </c>
      <c r="J19" s="677">
        <f t="shared" si="4"/>
        <v>9162</v>
      </c>
    </row>
    <row r="20" spans="1:10" s="477" customFormat="1" ht="25.15" customHeight="1">
      <c r="A20" s="962">
        <f>A21+A23-1</f>
        <v>9781</v>
      </c>
      <c r="B20" s="244">
        <f>A20/$A$8*100</f>
        <v>1.7017685796556794</v>
      </c>
      <c r="C20" s="245" t="s">
        <v>398</v>
      </c>
      <c r="D20" s="246">
        <f>D21+D23</f>
        <v>4550</v>
      </c>
      <c r="E20" s="244">
        <f t="shared" si="1"/>
        <v>0.74335230651601392</v>
      </c>
      <c r="F20" s="246">
        <f>F21+F23</f>
        <v>3870</v>
      </c>
      <c r="G20" s="244">
        <f t="shared" si="2"/>
        <v>0.62342733608049461</v>
      </c>
      <c r="H20" s="253">
        <f t="shared" si="5"/>
        <v>680</v>
      </c>
      <c r="I20" s="256">
        <f t="shared" si="3"/>
        <v>17.571059431524546</v>
      </c>
      <c r="J20" s="677">
        <f t="shared" si="4"/>
        <v>-5231</v>
      </c>
    </row>
    <row r="21" spans="1:10" s="477" customFormat="1" ht="25.15" customHeight="1">
      <c r="A21" s="961">
        <f>A22</f>
        <v>2551</v>
      </c>
      <c r="B21" s="239">
        <f t="shared" si="0"/>
        <v>0.44384128889700825</v>
      </c>
      <c r="C21" s="240" t="s">
        <v>400</v>
      </c>
      <c r="D21" s="241">
        <f>SUM(D22)</f>
        <v>2550</v>
      </c>
      <c r="E21" s="239">
        <f t="shared" si="1"/>
        <v>0.41660403991556827</v>
      </c>
      <c r="F21" s="241">
        <f>SUM(F22)</f>
        <v>1870</v>
      </c>
      <c r="G21" s="239">
        <f>F21/$F$8*100</f>
        <v>0.30124266627145346</v>
      </c>
      <c r="H21" s="242">
        <f t="shared" si="5"/>
        <v>680</v>
      </c>
      <c r="I21" s="255">
        <f>H21/F21*100</f>
        <v>36.363636363636367</v>
      </c>
      <c r="J21" s="678">
        <f t="shared" si="4"/>
        <v>-1</v>
      </c>
    </row>
    <row r="22" spans="1:10" s="477" customFormat="1" ht="25.15" customHeight="1">
      <c r="A22" s="961">
        <v>2551</v>
      </c>
      <c r="B22" s="239">
        <f t="shared" si="0"/>
        <v>0.44384128889700825</v>
      </c>
      <c r="C22" s="240" t="s">
        <v>401</v>
      </c>
      <c r="D22" s="241">
        <f>2370+180</f>
        <v>2550</v>
      </c>
      <c r="E22" s="239">
        <f t="shared" si="1"/>
        <v>0.41660403991556827</v>
      </c>
      <c r="F22" s="241">
        <f>1800+70</f>
        <v>1870</v>
      </c>
      <c r="G22" s="239">
        <f t="shared" si="2"/>
        <v>0.30124266627145346</v>
      </c>
      <c r="H22" s="242">
        <f t="shared" si="5"/>
        <v>680</v>
      </c>
      <c r="I22" s="255">
        <f t="shared" si="3"/>
        <v>36.363636363636367</v>
      </c>
      <c r="J22" s="678">
        <f t="shared" si="4"/>
        <v>-1</v>
      </c>
    </row>
    <row r="23" spans="1:10" s="477" customFormat="1" ht="25.15" customHeight="1">
      <c r="A23" s="961">
        <f>SUM(A24:A27)</f>
        <v>7231</v>
      </c>
      <c r="B23" s="239">
        <f t="shared" si="0"/>
        <v>1.2581012779358163</v>
      </c>
      <c r="C23" s="240" t="s">
        <v>402</v>
      </c>
      <c r="D23" s="241">
        <f>SUM(D24:D27)</f>
        <v>2000</v>
      </c>
      <c r="E23" s="239">
        <f>D23/$D$8*100</f>
        <v>0.3267482666004457</v>
      </c>
      <c r="F23" s="241">
        <f>SUM(F24:F27)</f>
        <v>2000</v>
      </c>
      <c r="G23" s="239">
        <f t="shared" si="2"/>
        <v>0.32218466980904115</v>
      </c>
      <c r="H23" s="241">
        <f>SUM(H24:H27)</f>
        <v>0</v>
      </c>
      <c r="I23" s="255">
        <f t="shared" si="3"/>
        <v>0</v>
      </c>
      <c r="J23" s="678">
        <f t="shared" si="4"/>
        <v>-5231</v>
      </c>
    </row>
    <row r="24" spans="1:10" s="477" customFormat="1" ht="25.15" hidden="1" customHeight="1">
      <c r="A24" s="961">
        <v>0</v>
      </c>
      <c r="B24" s="239">
        <f t="shared" si="0"/>
        <v>0</v>
      </c>
      <c r="C24" s="240" t="s">
        <v>403</v>
      </c>
      <c r="D24" s="241">
        <v>0</v>
      </c>
      <c r="E24" s="241">
        <f>D24/$D$8*100</f>
        <v>0</v>
      </c>
      <c r="F24" s="241">
        <v>0</v>
      </c>
      <c r="G24" s="615">
        <f t="shared" si="2"/>
        <v>0</v>
      </c>
      <c r="H24" s="614">
        <f t="shared" si="5"/>
        <v>0</v>
      </c>
      <c r="I24" s="255">
        <v>0</v>
      </c>
      <c r="J24" s="678">
        <f t="shared" si="4"/>
        <v>0</v>
      </c>
    </row>
    <row r="25" spans="1:10" s="477" customFormat="1" ht="25.15" customHeight="1">
      <c r="A25" s="961">
        <v>104</v>
      </c>
      <c r="B25" s="239">
        <f>A25/$A$8*100</f>
        <v>1.8094666423084618E-2</v>
      </c>
      <c r="C25" s="696" t="s">
        <v>968</v>
      </c>
      <c r="D25" s="241">
        <v>0</v>
      </c>
      <c r="E25" s="241">
        <f>D25/$D$8*100</f>
        <v>0</v>
      </c>
      <c r="F25" s="241">
        <v>0</v>
      </c>
      <c r="G25" s="615">
        <f>F25/$F$8*100</f>
        <v>0</v>
      </c>
      <c r="H25" s="614">
        <f>D25-F25</f>
        <v>0</v>
      </c>
      <c r="I25" s="255">
        <v>0</v>
      </c>
      <c r="J25" s="478">
        <f>D25-A25</f>
        <v>-104</v>
      </c>
    </row>
    <row r="26" spans="1:10" s="477" customFormat="1" ht="25.15" hidden="1" customHeight="1">
      <c r="A26" s="961">
        <v>0</v>
      </c>
      <c r="B26" s="239">
        <f t="shared" si="0"/>
        <v>0</v>
      </c>
      <c r="C26" s="696" t="s">
        <v>967</v>
      </c>
      <c r="D26" s="241">
        <v>0</v>
      </c>
      <c r="E26" s="241">
        <f>D26/$D$8*100</f>
        <v>0</v>
      </c>
      <c r="F26" s="241">
        <v>0</v>
      </c>
      <c r="G26" s="615">
        <f>F26/$F$8*100</f>
        <v>0</v>
      </c>
      <c r="H26" s="614">
        <f>D26-F26</f>
        <v>0</v>
      </c>
      <c r="I26" s="255">
        <v>0</v>
      </c>
      <c r="J26" s="478">
        <f t="shared" si="4"/>
        <v>0</v>
      </c>
    </row>
    <row r="27" spans="1:10" s="477" customFormat="1" ht="25.15" customHeight="1">
      <c r="A27" s="961">
        <v>7127</v>
      </c>
      <c r="B27" s="239">
        <f t="shared" ref="B27:B33" si="7">A27/$A$8*100</f>
        <v>1.2400066115127315</v>
      </c>
      <c r="C27" s="696" t="s">
        <v>1047</v>
      </c>
      <c r="D27" s="241">
        <f>'22.其他業務外收入明細'!C9</f>
        <v>2000</v>
      </c>
      <c r="E27" s="239">
        <f t="shared" si="1"/>
        <v>0.3267482666004457</v>
      </c>
      <c r="F27" s="241">
        <v>2000</v>
      </c>
      <c r="G27" s="239">
        <f t="shared" si="2"/>
        <v>0.32218466980904115</v>
      </c>
      <c r="H27" s="241">
        <f t="shared" si="5"/>
        <v>0</v>
      </c>
      <c r="I27" s="255">
        <f t="shared" si="3"/>
        <v>0</v>
      </c>
      <c r="J27" s="678">
        <f t="shared" si="4"/>
        <v>-5127</v>
      </c>
    </row>
    <row r="28" spans="1:10" s="477" customFormat="1" ht="25.15" customHeight="1">
      <c r="A28" s="962">
        <f>A29</f>
        <v>26</v>
      </c>
      <c r="B28" s="244">
        <f t="shared" si="7"/>
        <v>4.5236666057711546E-3</v>
      </c>
      <c r="C28" s="245" t="s">
        <v>399</v>
      </c>
      <c r="D28" s="246">
        <f>D29</f>
        <v>50</v>
      </c>
      <c r="E28" s="244">
        <f t="shared" si="1"/>
        <v>8.1687066650111412E-3</v>
      </c>
      <c r="F28" s="246">
        <f>F29</f>
        <v>14</v>
      </c>
      <c r="G28" s="244">
        <f t="shared" si="2"/>
        <v>2.2552926886632877E-3</v>
      </c>
      <c r="H28" s="246">
        <f t="shared" si="5"/>
        <v>36</v>
      </c>
      <c r="I28" s="256">
        <f>H28/F28*100</f>
        <v>257.14285714285717</v>
      </c>
      <c r="J28" s="677">
        <f t="shared" si="4"/>
        <v>24</v>
      </c>
    </row>
    <row r="29" spans="1:10" s="477" customFormat="1" ht="25.15" customHeight="1">
      <c r="A29" s="961">
        <f>A30</f>
        <v>26</v>
      </c>
      <c r="B29" s="239">
        <f t="shared" si="7"/>
        <v>4.5236666057711546E-3</v>
      </c>
      <c r="C29" s="240" t="s">
        <v>404</v>
      </c>
      <c r="D29" s="241">
        <f>D30</f>
        <v>50</v>
      </c>
      <c r="E29" s="239">
        <f>D29/$D$8*100</f>
        <v>8.1687066650111412E-3</v>
      </c>
      <c r="F29" s="241">
        <f>F30</f>
        <v>14</v>
      </c>
      <c r="G29" s="239">
        <f t="shared" si="2"/>
        <v>2.2552926886632877E-3</v>
      </c>
      <c r="H29" s="241">
        <f t="shared" si="5"/>
        <v>36</v>
      </c>
      <c r="I29" s="255">
        <f t="shared" si="3"/>
        <v>257.14285714285717</v>
      </c>
      <c r="J29" s="678">
        <f t="shared" si="4"/>
        <v>24</v>
      </c>
    </row>
    <row r="30" spans="1:10" s="477" customFormat="1" ht="25.15" customHeight="1">
      <c r="A30" s="961">
        <v>26</v>
      </c>
      <c r="B30" s="239">
        <f t="shared" si="7"/>
        <v>4.5236666057711546E-3</v>
      </c>
      <c r="C30" s="696" t="s">
        <v>128</v>
      </c>
      <c r="D30" s="241">
        <v>50</v>
      </c>
      <c r="E30" s="239">
        <f t="shared" si="1"/>
        <v>8.1687066650111412E-3</v>
      </c>
      <c r="F30" s="241">
        <v>14</v>
      </c>
      <c r="G30" s="239">
        <f t="shared" si="2"/>
        <v>2.2552926886632877E-3</v>
      </c>
      <c r="H30" s="241">
        <f t="shared" si="5"/>
        <v>36</v>
      </c>
      <c r="I30" s="255">
        <f t="shared" si="3"/>
        <v>257.14285714285717</v>
      </c>
      <c r="J30" s="678">
        <f t="shared" si="4"/>
        <v>24</v>
      </c>
    </row>
    <row r="31" spans="1:10" s="477" customFormat="1" ht="25.15" customHeight="1">
      <c r="A31" s="962">
        <f>A20-A28+1</f>
        <v>9756</v>
      </c>
      <c r="B31" s="244">
        <f t="shared" si="7"/>
        <v>1.6974189002270532</v>
      </c>
      <c r="C31" s="245" t="s">
        <v>1048</v>
      </c>
      <c r="D31" s="246">
        <f>D20-D28</f>
        <v>4500</v>
      </c>
      <c r="E31" s="244">
        <f t="shared" si="1"/>
        <v>0.73518359985100279</v>
      </c>
      <c r="F31" s="246">
        <f>F20-F28</f>
        <v>3856</v>
      </c>
      <c r="G31" s="244">
        <f t="shared" si="2"/>
        <v>0.6211720433918313</v>
      </c>
      <c r="H31" s="253">
        <f t="shared" si="5"/>
        <v>644</v>
      </c>
      <c r="I31" s="256">
        <f t="shared" si="3"/>
        <v>16.701244813278006</v>
      </c>
      <c r="J31" s="477">
        <f t="shared" si="4"/>
        <v>-5256</v>
      </c>
    </row>
    <row r="32" spans="1:10" s="477" customFormat="1" ht="25.15" customHeight="1">
      <c r="A32" s="797">
        <f>A19+A31-1</f>
        <v>11271</v>
      </c>
      <c r="B32" s="244">
        <f t="shared" si="7"/>
        <v>1.9610094736017956</v>
      </c>
      <c r="C32" s="245" t="s">
        <v>1049</v>
      </c>
      <c r="D32" s="798">
        <f>D19+D31</f>
        <v>15178</v>
      </c>
      <c r="E32" s="244">
        <f t="shared" si="1"/>
        <v>2.4796925952307824</v>
      </c>
      <c r="F32" s="798">
        <f>F19+F31</f>
        <v>19791</v>
      </c>
      <c r="G32" s="244">
        <f t="shared" si="2"/>
        <v>3.1881784000953663</v>
      </c>
      <c r="H32" s="253">
        <f t="shared" si="5"/>
        <v>-4613</v>
      </c>
      <c r="I32" s="256">
        <f t="shared" si="3"/>
        <v>-23.308574604618258</v>
      </c>
      <c r="J32" s="477">
        <f t="shared" si="4"/>
        <v>3907</v>
      </c>
    </row>
    <row r="33" spans="1:9" s="477" customFormat="1" ht="25.15" customHeight="1">
      <c r="A33" s="799">
        <v>0</v>
      </c>
      <c r="B33" s="241">
        <f t="shared" si="7"/>
        <v>0</v>
      </c>
      <c r="C33" s="245" t="s">
        <v>959</v>
      </c>
      <c r="D33" s="253">
        <v>0</v>
      </c>
      <c r="E33" s="241">
        <f t="shared" si="1"/>
        <v>0</v>
      </c>
      <c r="F33" s="253">
        <v>0</v>
      </c>
      <c r="G33" s="241">
        <f t="shared" si="2"/>
        <v>0</v>
      </c>
      <c r="H33" s="253">
        <f t="shared" si="5"/>
        <v>0</v>
      </c>
      <c r="I33" s="699">
        <v>0</v>
      </c>
    </row>
    <row r="34" spans="1:9" s="477" customFormat="1" ht="9.6" customHeight="1">
      <c r="A34" s="797"/>
      <c r="B34" s="244"/>
      <c r="C34" s="245"/>
      <c r="D34" s="798"/>
      <c r="E34" s="244"/>
      <c r="F34" s="798"/>
      <c r="G34" s="244"/>
      <c r="H34" s="253"/>
      <c r="I34" s="256"/>
    </row>
    <row r="35" spans="1:9" s="478" customFormat="1" ht="12" customHeight="1" thickBot="1">
      <c r="A35" s="800"/>
      <c r="B35" s="479"/>
      <c r="C35" s="480"/>
      <c r="D35" s="479"/>
      <c r="E35" s="479"/>
      <c r="F35" s="479"/>
      <c r="G35" s="479"/>
      <c r="H35" s="479"/>
      <c r="I35" s="481"/>
    </row>
    <row r="36" spans="1:9" ht="19.899999999999999" customHeight="1">
      <c r="A36" s="996" t="s">
        <v>1061</v>
      </c>
      <c r="B36" s="997"/>
      <c r="C36" s="997"/>
      <c r="D36" s="997"/>
      <c r="E36" s="997"/>
      <c r="F36" s="997"/>
      <c r="G36" s="997"/>
      <c r="H36" s="997"/>
      <c r="I36" s="997"/>
    </row>
    <row r="37" spans="1:9">
      <c r="A37" s="998"/>
      <c r="B37" s="999"/>
      <c r="C37" s="999"/>
      <c r="D37" s="999"/>
      <c r="E37" s="999"/>
      <c r="F37" s="999"/>
      <c r="G37" s="999"/>
      <c r="H37" s="999"/>
      <c r="I37" s="999"/>
    </row>
    <row r="38" spans="1:9">
      <c r="A38" s="482"/>
    </row>
  </sheetData>
  <mergeCells count="11">
    <mergeCell ref="A36:I36"/>
    <mergeCell ref="A37:I37"/>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47244094488188981" top="0.59055118110236227" bottom="0.78740157480314965" header="0.47244094488188981" footer="0.51181102362204722"/>
  <pageSetup paperSize="9" scale="90" firstPageNumber="15" orientation="portrait" blackAndWhite="1" useFirstPageNumber="1" errors="dash" r:id="rId1"/>
  <headerFooter scaleWithDoc="0" alignWithMargins="0">
    <oddFooter>&amp;C&amp;"Arial Unicode MS,標準"&amp;P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53</vt:i4>
      </vt:variant>
      <vt:variant>
        <vt:lpstr>已命名的範圍</vt:lpstr>
      </vt:variant>
      <vt:variant>
        <vt:i4>38</vt:i4>
      </vt:variant>
    </vt:vector>
  </HeadingPairs>
  <TitlesOfParts>
    <vt:vector size="91" baseType="lpstr">
      <vt:lpstr>目次-</vt:lpstr>
      <vt:lpstr>隔頁-(業務計畫及預算說明)</vt:lpstr>
      <vt:lpstr>10.圖1</vt:lpstr>
      <vt:lpstr>11.圖2</vt:lpstr>
      <vt:lpstr>12.圖3</vt:lpstr>
      <vt:lpstr>13.圖4</vt:lpstr>
      <vt:lpstr>14.圖5</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23.勞務成本明細6級</vt:lpstr>
      <vt:lpstr>21-22.勞務成本明細7級</vt:lpstr>
      <vt:lpstr>26.其他業務成本明細 (6級)</vt:lpstr>
      <vt:lpstr>23.其他業務成本明細7級(X)</vt:lpstr>
      <vt:lpstr>28.其他業務外費用明細6級</vt:lpstr>
      <vt:lpstr>24.其他業務外費用明細7級(X) </vt:lpstr>
      <vt:lpstr>30.固定資產建改擴明細表</vt:lpstr>
      <vt:lpstr>31.固定資產資金來源明細表</vt:lpstr>
      <vt:lpstr>32-33.固定資產計畫進度明細表</vt:lpstr>
      <vt:lpstr>34.資產折舊明細表</vt:lpstr>
      <vt:lpstr>30.資產折舊明細表 (2)</vt:lpstr>
      <vt:lpstr>35.基金數額增減明細表</vt:lpstr>
      <vt:lpstr>31.基金數額增減明細表 (2)</vt:lpstr>
      <vt:lpstr>36.隔頁 (空白30)</vt:lpstr>
      <vt:lpstr>32.隔頁 (空白32)</vt:lpstr>
      <vt:lpstr>隔頁 (參考表)</vt:lpstr>
      <vt:lpstr>33.隔頁 (空白33)</vt:lpstr>
      <vt:lpstr>34-35.預計平衡表 (2)</vt:lpstr>
      <vt:lpstr>37.預計平衡表</vt:lpstr>
      <vt:lpstr>36.預計平衡表 (4級)</vt:lpstr>
      <vt:lpstr>38.營運項目分析表</vt:lpstr>
      <vt:lpstr>36.營運項目分析表 (2)</vt:lpstr>
      <vt:lpstr>39.員工人數彙計表(1)</vt:lpstr>
      <vt:lpstr>37.員工人數彙計表(2)</vt:lpstr>
      <vt:lpstr>38-39.用人費用彙計表</vt:lpstr>
      <vt:lpstr>38-39.用人費用彙計表(2)</vt:lpstr>
      <vt:lpstr>42.各項費用彙計表(6級)</vt:lpstr>
      <vt:lpstr>40-41.各項費用彙計表(7級) </vt:lpstr>
      <vt:lpstr>43.隔頁 (空白43)</vt:lpstr>
      <vt:lpstr>附錄</vt:lpstr>
      <vt:lpstr>44.隔頁 (空白))</vt:lpstr>
      <vt:lpstr>100設備分年性項目明細表(X)</vt:lpstr>
      <vt:lpstr>.100設備分年性項目明細表(X)</vt:lpstr>
      <vt:lpstr>封底 </vt:lpstr>
      <vt:lpstr>明細表</vt:lpstr>
      <vt:lpstr>Sheet1</vt:lpstr>
      <vt:lpstr>'10.圖1'!Print_Area</vt:lpstr>
      <vt:lpstr>'11.圖2'!Print_Area</vt:lpstr>
      <vt:lpstr>'12.圖3'!Print_Area</vt:lpstr>
      <vt:lpstr>'13.圖4'!Print_Area</vt:lpstr>
      <vt:lpstr>'14.圖5'!Print_Area</vt:lpstr>
      <vt:lpstr>'15.收支預計表'!Print_Area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'26.其他業務成本明細 (6級)'!Print_Area</vt:lpstr>
      <vt:lpstr>'28.其他業務外費用明細6級'!Print_Area</vt:lpstr>
      <vt:lpstr>'32-33.固定資產計畫進度明細表'!Print_Area</vt:lpstr>
      <vt:lpstr>'34-35.預計平衡表 (2)'!Print_Area</vt:lpstr>
      <vt:lpstr>'36.預計平衡表 (4級)'!Print_Area</vt:lpstr>
      <vt:lpstr>'37.預計平衡表'!Print_Area</vt:lpstr>
      <vt:lpstr>'39.員工人數彙計表(1)'!Print_Area</vt:lpstr>
      <vt:lpstr>'40-41.各項費用彙計表(7級) '!Print_Area</vt:lpstr>
      <vt:lpstr>'42.各項費用彙計表(6級)'!Print_Area</vt:lpstr>
      <vt:lpstr>'10.圖1'!Print_Titles</vt:lpstr>
      <vt:lpstr>'21-22.勞務成本明細7級'!Print_Titles</vt:lpstr>
      <vt:lpstr>'23.其他業務成本明細7級(X)'!Print_Titles</vt:lpstr>
      <vt:lpstr>'23.勞務成本明細6級'!Print_Titles</vt:lpstr>
      <vt:lpstr>'24.其他業務外費用明細7級(X) '!Print_Titles</vt:lpstr>
      <vt:lpstr>'26.其他業務成本明細 (6級)'!Print_Titles</vt:lpstr>
      <vt:lpstr>'28.其他業務外費用明細6級'!Print_Titles</vt:lpstr>
      <vt:lpstr>'34-35.預計平衡表 (2)'!Print_Titles</vt:lpstr>
      <vt:lpstr>'36.預計平衡表 (4級)'!Print_Titles</vt:lpstr>
      <vt:lpstr>'36.營運項目分析表 (2)'!Print_Titles</vt:lpstr>
      <vt:lpstr>'37.預計平衡表'!Print_Titles</vt:lpstr>
      <vt:lpstr>'38.營運項目分析表'!Print_Titles</vt:lpstr>
      <vt:lpstr>'40-41.各項費用彙計表(7級) '!Print_Titles</vt:lpstr>
      <vt:lpstr>'42.各項費用彙計表(6級)'!Print_Titles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2019-08-19T06:47:20Z</cp:lastPrinted>
  <dcterms:created xsi:type="dcterms:W3CDTF">2004-05-02T11:25:37Z</dcterms:created>
  <dcterms:modified xsi:type="dcterms:W3CDTF">2019-08-19T06:47:24Z</dcterms:modified>
</cp:coreProperties>
</file>